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21225" yWindow="21075" windowWidth="12120" windowHeight="8925" tabRatio="896" activeTab="15"/>
  </bookViews>
  <sheets>
    <sheet name="Dados" sheetId="45" r:id="rId1"/>
    <sheet name="Efetivo" sheetId="46" r:id="rId2"/>
    <sheet name="Benefícios" sheetId="47" r:id="rId3"/>
    <sheet name="PF" sheetId="48" r:id="rId4"/>
    <sheet name="Uniforme e EPI" sheetId="49" r:id="rId5"/>
    <sheet name="Material" sheetId="50" r:id="rId6"/>
    <sheet name="DE" sheetId="51" r:id="rId7"/>
    <sheet name="DOV" sheetId="52" r:id="rId8"/>
    <sheet name="DOE_h" sheetId="37" state="hidden" r:id="rId9"/>
    <sheet name="DV" sheetId="53" r:id="rId10"/>
    <sheet name="DG" sheetId="55" r:id="rId11"/>
    <sheet name="E S" sheetId="56" r:id="rId12"/>
    <sheet name="MC" sheetId="57" r:id="rId13"/>
    <sheet name="ADII" sheetId="54" r:id="rId14"/>
    <sheet name="Resumo" sheetId="58" r:id="rId15"/>
    <sheet name="Consolidado_A" sheetId="59" r:id="rId16"/>
    <sheet name="Simulador" sheetId="60" state="hidden" r:id="rId17"/>
  </sheets>
  <definedNames>
    <definedName name="_xlnm._FilterDatabase" localSheetId="13" hidden="1">ADII!$A$1:$M$77</definedName>
    <definedName name="_xlnm._FilterDatabase" localSheetId="9" hidden="1">DV!$B$12:$K$337</definedName>
    <definedName name="_xlnm.Print_Area" localSheetId="13">ADII!$B$4:$L$52</definedName>
    <definedName name="_xlnm.Print_Area" localSheetId="2">Benefícios!$A$2:$BV$53</definedName>
    <definedName name="_xlnm.Print_Area" localSheetId="15">Consolidado_A!$A$2:$M$195</definedName>
    <definedName name="_xlnm.Print_Area" localSheetId="6">DE!$B$4:$S$462</definedName>
    <definedName name="_xlnm.Print_Area" localSheetId="10">DG!$B$4:$I$88</definedName>
    <definedName name="_xlnm.Print_Area" localSheetId="7">DOV!$B$4:$R$241</definedName>
    <definedName name="_xlnm.Print_Area" localSheetId="9">DV!$B$4:$S$46</definedName>
    <definedName name="_xlnm.Print_Area" localSheetId="11">'E S'!$C$4:$F$52</definedName>
    <definedName name="_xlnm.Print_Area" localSheetId="1">Efetivo!$B$2:$AZ$56</definedName>
    <definedName name="_xlnm.Print_Area" localSheetId="5">Material!$A$2:$O$612</definedName>
    <definedName name="_xlnm.Print_Area" localSheetId="12">MC!$B$4:$D$16</definedName>
    <definedName name="_xlnm.Print_Area" localSheetId="14">Resumo!$B$6:$Q$76</definedName>
    <definedName name="_xlnm.Print_Area" localSheetId="4">'Uniforme e EPI'!$B$4:$J$38</definedName>
    <definedName name="_xlnm.Print_Titles" localSheetId="13">ADII!$10:$11</definedName>
    <definedName name="_xlnm.Print_Titles" localSheetId="2">Benefícios!$A:$G</definedName>
    <definedName name="_xlnm.Print_Titles" localSheetId="15">Consolidado_A!$2:$11</definedName>
    <definedName name="_xlnm.Print_Titles" localSheetId="6">DE!$4:$7</definedName>
    <definedName name="_xlnm.Print_Titles" localSheetId="10">DG!$4:$10</definedName>
    <definedName name="_xlnm.Print_Titles" localSheetId="9">DV!$4:$6</definedName>
    <definedName name="_xlnm.Print_Titles" localSheetId="1">Efetivo!$A:$C</definedName>
    <definedName name="_xlnm.Print_Titles" localSheetId="5">Material!$5:$9</definedName>
    <definedName name="_xlnm.Print_Titles" localSheetId="4">'Uniforme e EPI'!$10:$11</definedName>
  </definedNames>
  <calcPr calcId="125725" fullCalcOnLoad="1"/>
</workbook>
</file>

<file path=xl/calcChain.xml><?xml version="1.0" encoding="utf-8"?>
<calcChain xmlns="http://schemas.openxmlformats.org/spreadsheetml/2006/main">
  <c r="J47" i="51"/>
  <c r="J46"/>
  <c r="G134" i="59"/>
  <c r="AT11" i="46"/>
  <c r="B16" i="59"/>
  <c r="AT12" i="46"/>
  <c r="B17" i="59"/>
  <c r="AT13" i="46"/>
  <c r="B18" i="59"/>
  <c r="AT14" i="46"/>
  <c r="BG14"/>
  <c r="B19" i="59"/>
  <c r="AT15" i="46"/>
  <c r="BG15"/>
  <c r="B20" i="59"/>
  <c r="AT16" i="46"/>
  <c r="BG16"/>
  <c r="B21" i="59"/>
  <c r="AT17" i="46"/>
  <c r="BG17"/>
  <c r="B22" i="59"/>
  <c r="AT18" i="46"/>
  <c r="BG18"/>
  <c r="B23" i="59"/>
  <c r="AT19" i="46"/>
  <c r="BG19"/>
  <c r="B24" i="59"/>
  <c r="AT20" i="46"/>
  <c r="BG20"/>
  <c r="B25" i="59"/>
  <c r="AT21" i="46"/>
  <c r="BG21"/>
  <c r="B26" i="59"/>
  <c r="AT22" i="46"/>
  <c r="BG22"/>
  <c r="B27" i="59"/>
  <c r="AT23" i="46"/>
  <c r="BG23"/>
  <c r="B28" i="59"/>
  <c r="AT24" i="46"/>
  <c r="BG24"/>
  <c r="B29" i="59"/>
  <c r="AT25" i="46"/>
  <c r="BG25"/>
  <c r="B30" i="59"/>
  <c r="AT26" i="46"/>
  <c r="BG26"/>
  <c r="B31" i="59"/>
  <c r="AT27" i="46"/>
  <c r="BG27"/>
  <c r="B32" i="59"/>
  <c r="AT28" i="46"/>
  <c r="BG28"/>
  <c r="B33" i="59"/>
  <c r="AT29" i="46"/>
  <c r="BG29"/>
  <c r="B34" i="59"/>
  <c r="AT30" i="46"/>
  <c r="BG30"/>
  <c r="B35" i="59"/>
  <c r="AT31" i="46"/>
  <c r="BG31"/>
  <c r="B36" i="59"/>
  <c r="AT32" i="46"/>
  <c r="BG32"/>
  <c r="B37" i="59"/>
  <c r="AT33" i="46"/>
  <c r="BG33"/>
  <c r="B38" i="59"/>
  <c r="AT34" i="46"/>
  <c r="BG34"/>
  <c r="B39" i="59"/>
  <c r="AT35" i="46"/>
  <c r="BG35"/>
  <c r="B40" i="59"/>
  <c r="AT36" i="46"/>
  <c r="BG36"/>
  <c r="B41" i="59"/>
  <c r="AT37" i="46"/>
  <c r="BG37"/>
  <c r="B42" i="59"/>
  <c r="AT38" i="46"/>
  <c r="BG38"/>
  <c r="B43" i="59"/>
  <c r="AT39" i="46"/>
  <c r="BG39"/>
  <c r="B44" i="59"/>
  <c r="AT40" i="46"/>
  <c r="BG40"/>
  <c r="B45" i="59"/>
  <c r="AT41" i="46"/>
  <c r="BG41"/>
  <c r="B46" i="59"/>
  <c r="AT42" i="46"/>
  <c r="BG42"/>
  <c r="B47" i="59"/>
  <c r="AT43" i="46"/>
  <c r="BG43"/>
  <c r="B48" i="59"/>
  <c r="AT44" i="46"/>
  <c r="BG44"/>
  <c r="B49" i="59"/>
  <c r="AT45" i="46"/>
  <c r="BG45"/>
  <c r="B50" i="59"/>
  <c r="AT46" i="46"/>
  <c r="BG46"/>
  <c r="B51" i="59"/>
  <c r="AT47" i="46"/>
  <c r="BG47"/>
  <c r="B52" i="59"/>
  <c r="AT48" i="46"/>
  <c r="BG48"/>
  <c r="B53" i="59"/>
  <c r="AT49" i="46"/>
  <c r="BG49"/>
  <c r="B54" i="59"/>
  <c r="AT50" i="46"/>
  <c r="BG50"/>
  <c r="B55" i="59"/>
  <c r="AT51" i="46"/>
  <c r="BG51"/>
  <c r="B56" i="59"/>
  <c r="AT52" i="46"/>
  <c r="BG52"/>
  <c r="B57" i="59"/>
  <c r="AT53" i="46"/>
  <c r="BG53"/>
  <c r="B58" i="59"/>
  <c r="AT54" i="46"/>
  <c r="BG54"/>
  <c r="B59" i="59"/>
  <c r="G70"/>
  <c r="G72"/>
  <c r="G75"/>
  <c r="G82"/>
  <c r="G83"/>
  <c r="G84"/>
  <c r="G85"/>
  <c r="G86"/>
  <c r="G91"/>
  <c r="D6" i="49"/>
  <c r="J28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O48" i="51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O14" i="53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D6" i="55"/>
  <c r="G126" i="59"/>
  <c r="P11" i="46"/>
  <c r="P13"/>
  <c r="R12"/>
  <c r="S12" s="1"/>
  <c r="I35" i="56"/>
  <c r="F35"/>
  <c r="G90" i="59" s="1"/>
  <c r="N12" i="46"/>
  <c r="N13"/>
  <c r="S13" s="1"/>
  <c r="S14"/>
  <c r="S15"/>
  <c r="BV15"/>
  <c r="L12" i="47" s="1"/>
  <c r="T12" s="1"/>
  <c r="S16" i="46"/>
  <c r="BV16"/>
  <c r="L13" i="47"/>
  <c r="S17" i="46"/>
  <c r="BV17"/>
  <c r="L14" i="47" s="1"/>
  <c r="S18" i="46"/>
  <c r="BV18"/>
  <c r="L15" i="47" s="1"/>
  <c r="S19" i="46"/>
  <c r="BV19"/>
  <c r="L16" i="47"/>
  <c r="S20" i="46"/>
  <c r="BV20"/>
  <c r="L17" i="47"/>
  <c r="S21" i="46"/>
  <c r="BV21"/>
  <c r="L18" i="47" s="1"/>
  <c r="S22" i="46"/>
  <c r="BV22"/>
  <c r="L19" i="47"/>
  <c r="S23" i="46"/>
  <c r="BV23"/>
  <c r="L20" i="47" s="1"/>
  <c r="T20" s="1"/>
  <c r="S24" i="46"/>
  <c r="BV24"/>
  <c r="L21" i="47"/>
  <c r="S25" i="46"/>
  <c r="BV25"/>
  <c r="L22" i="47" s="1"/>
  <c r="S26" i="46"/>
  <c r="BV26"/>
  <c r="L23" i="47" s="1"/>
  <c r="S27" i="46"/>
  <c r="BV27"/>
  <c r="L24" i="47"/>
  <c r="S28" i="46"/>
  <c r="BV28"/>
  <c r="L25" i="47"/>
  <c r="S29" i="46"/>
  <c r="BV29"/>
  <c r="L26" i="47" s="1"/>
  <c r="S30" i="46"/>
  <c r="BV30"/>
  <c r="L27" i="47"/>
  <c r="S31" i="46"/>
  <c r="BV31"/>
  <c r="L28" i="47" s="1"/>
  <c r="T28" s="1"/>
  <c r="S32" i="46"/>
  <c r="BV32"/>
  <c r="L29" i="47"/>
  <c r="S33" i="46"/>
  <c r="BV33"/>
  <c r="L30" i="47" s="1"/>
  <c r="S34" i="46"/>
  <c r="BV34"/>
  <c r="L31" i="47" s="1"/>
  <c r="S35" i="46"/>
  <c r="BV35"/>
  <c r="L32" i="47"/>
  <c r="S36" i="46"/>
  <c r="BV36"/>
  <c r="L33" i="47"/>
  <c r="S37" i="46"/>
  <c r="BV37"/>
  <c r="L34" i="47" s="1"/>
  <c r="S38" i="46"/>
  <c r="BV38"/>
  <c r="L35" i="47"/>
  <c r="S39" i="46"/>
  <c r="BV39"/>
  <c r="L36" i="47" s="1"/>
  <c r="T36" s="1"/>
  <c r="S40" i="46"/>
  <c r="BV40"/>
  <c r="L37" i="47"/>
  <c r="S41" i="46"/>
  <c r="BV41"/>
  <c r="L38" i="47" s="1"/>
  <c r="S42" i="46"/>
  <c r="BV42"/>
  <c r="L39" i="47" s="1"/>
  <c r="S43" i="46"/>
  <c r="BV43"/>
  <c r="L40" i="47"/>
  <c r="S44" i="46"/>
  <c r="BV44"/>
  <c r="L41" i="47"/>
  <c r="S45" i="46"/>
  <c r="BV45"/>
  <c r="L42" i="47" s="1"/>
  <c r="S46" i="46"/>
  <c r="BV46"/>
  <c r="L43" i="47"/>
  <c r="S47" i="46"/>
  <c r="BV47"/>
  <c r="L44" i="47" s="1"/>
  <c r="T44" s="1"/>
  <c r="S48" i="46"/>
  <c r="BV48"/>
  <c r="L45" i="47"/>
  <c r="S49" i="46"/>
  <c r="BV49"/>
  <c r="L46" i="47" s="1"/>
  <c r="S50" i="46"/>
  <c r="BV50"/>
  <c r="L47" i="47" s="1"/>
  <c r="S51" i="46"/>
  <c r="BV51"/>
  <c r="L48" i="47"/>
  <c r="S52" i="46"/>
  <c r="BV52"/>
  <c r="L49" i="47"/>
  <c r="S53" i="46"/>
  <c r="BV53"/>
  <c r="L50" i="47" s="1"/>
  <c r="S54" i="46"/>
  <c r="BV54"/>
  <c r="L51" i="47"/>
  <c r="N11" i="46"/>
  <c r="S11"/>
  <c r="U52" i="47"/>
  <c r="V52"/>
  <c r="J52"/>
  <c r="I52"/>
  <c r="H52"/>
  <c r="F14" i="56"/>
  <c r="G14" s="1"/>
  <c r="G76" i="59" s="1"/>
  <c r="I18" i="56"/>
  <c r="BV12" i="46"/>
  <c r="L9" i="47"/>
  <c r="AJ12" i="46"/>
  <c r="I17" i="59"/>
  <c r="BV13" i="46"/>
  <c r="L10" i="47"/>
  <c r="AJ13" i="46"/>
  <c r="I18" i="59"/>
  <c r="AJ14" i="46"/>
  <c r="I19" i="59"/>
  <c r="AJ15" i="46"/>
  <c r="I20" i="59"/>
  <c r="AJ16" i="46"/>
  <c r="I21" i="59"/>
  <c r="AJ17" i="46"/>
  <c r="I22" i="59"/>
  <c r="AJ18" i="46"/>
  <c r="I23" i="59"/>
  <c r="AJ19" i="46"/>
  <c r="I24" i="59"/>
  <c r="AJ20" i="46"/>
  <c r="I25" i="59"/>
  <c r="AJ21" i="46"/>
  <c r="I26" i="59"/>
  <c r="AJ22" i="46"/>
  <c r="I27" i="59"/>
  <c r="AJ23" i="46"/>
  <c r="I28" i="59"/>
  <c r="AJ24" i="46"/>
  <c r="I29" i="59"/>
  <c r="AJ25" i="46"/>
  <c r="I30" i="59"/>
  <c r="AJ26" i="46"/>
  <c r="I31" i="59"/>
  <c r="AJ27" i="46"/>
  <c r="I32" i="59"/>
  <c r="AJ28" i="46"/>
  <c r="I33" i="59"/>
  <c r="AJ29" i="46"/>
  <c r="I34" i="59"/>
  <c r="AJ30" i="46"/>
  <c r="I35" i="59"/>
  <c r="AJ31" i="46"/>
  <c r="I36" i="59"/>
  <c r="AJ32" i="46"/>
  <c r="I37" i="59"/>
  <c r="AJ33" i="46"/>
  <c r="I38" i="59"/>
  <c r="AJ34" i="46"/>
  <c r="I39" i="59"/>
  <c r="AJ35" i="46"/>
  <c r="I40" i="59"/>
  <c r="AJ36" i="46"/>
  <c r="I41" i="59"/>
  <c r="AJ37" i="46"/>
  <c r="I42" i="59"/>
  <c r="AJ38" i="46"/>
  <c r="I43" i="59"/>
  <c r="AJ39" i="46"/>
  <c r="I44" i="59"/>
  <c r="AJ40" i="46"/>
  <c r="I45" i="59"/>
  <c r="AJ41" i="46"/>
  <c r="I46" i="59"/>
  <c r="AJ42" i="46"/>
  <c r="I47" i="59"/>
  <c r="AJ43" i="46"/>
  <c r="I48" i="59"/>
  <c r="AJ44" i="46"/>
  <c r="I49" i="59"/>
  <c r="AJ45" i="46"/>
  <c r="I50" i="59"/>
  <c r="AJ46" i="46"/>
  <c r="I51" i="59"/>
  <c r="AJ47" i="46"/>
  <c r="I52" i="59"/>
  <c r="AJ48" i="46"/>
  <c r="I53" i="59"/>
  <c r="AJ49" i="46"/>
  <c r="I54" i="59"/>
  <c r="AJ50" i="46"/>
  <c r="I55" i="59"/>
  <c r="AJ51" i="46"/>
  <c r="I56" i="59"/>
  <c r="AJ52" i="46"/>
  <c r="I57" i="59"/>
  <c r="AJ53" i="46"/>
  <c r="I58" i="59"/>
  <c r="AJ54" i="46"/>
  <c r="I59" i="59"/>
  <c r="AJ11" i="46"/>
  <c r="I16" i="59"/>
  <c r="BV11" i="46"/>
  <c r="L8" i="47"/>
  <c r="L52" s="1"/>
  <c r="AU11" i="46"/>
  <c r="BO4"/>
  <c r="F54" i="48"/>
  <c r="G54"/>
  <c r="P54"/>
  <c r="AT8" i="46"/>
  <c r="H54" i="48"/>
  <c r="I54"/>
  <c r="I11" i="46"/>
  <c r="U11"/>
  <c r="Z11" s="1"/>
  <c r="AC11"/>
  <c r="AK11"/>
  <c r="AM11"/>
  <c r="AO11"/>
  <c r="F22" i="56"/>
  <c r="G80" i="59" s="1"/>
  <c r="F23" i="56"/>
  <c r="G81" i="59" s="1"/>
  <c r="F29" i="56"/>
  <c r="G87" i="59"/>
  <c r="F37" i="56"/>
  <c r="G92" i="59" s="1"/>
  <c r="F39" i="56"/>
  <c r="BT11" i="46"/>
  <c r="CD11"/>
  <c r="I12"/>
  <c r="U12"/>
  <c r="Z12" s="1"/>
  <c r="AF12" s="1"/>
  <c r="AC12"/>
  <c r="AK12"/>
  <c r="AM12"/>
  <c r="AO12"/>
  <c r="AU12"/>
  <c r="BW12"/>
  <c r="BZ12"/>
  <c r="CA12" s="1"/>
  <c r="I13"/>
  <c r="U13"/>
  <c r="Z13"/>
  <c r="AC13"/>
  <c r="AK13"/>
  <c r="AM13"/>
  <c r="AO13"/>
  <c r="AU13"/>
  <c r="BT13"/>
  <c r="BW13"/>
  <c r="BZ13"/>
  <c r="CA13" s="1"/>
  <c r="I14"/>
  <c r="CD14"/>
  <c r="I15"/>
  <c r="CD15"/>
  <c r="I16"/>
  <c r="CD16"/>
  <c r="I17"/>
  <c r="CD17"/>
  <c r="I18"/>
  <c r="CD18"/>
  <c r="I19"/>
  <c r="CD19"/>
  <c r="I20"/>
  <c r="CD20"/>
  <c r="I21"/>
  <c r="CD21"/>
  <c r="I22"/>
  <c r="CD22"/>
  <c r="I23"/>
  <c r="CD23"/>
  <c r="I24"/>
  <c r="CD24"/>
  <c r="I25"/>
  <c r="CD25"/>
  <c r="I26"/>
  <c r="CD26"/>
  <c r="I27"/>
  <c r="CD27"/>
  <c r="I28"/>
  <c r="CD28"/>
  <c r="I29"/>
  <c r="CD29"/>
  <c r="I30"/>
  <c r="CD30"/>
  <c r="I31"/>
  <c r="CD31"/>
  <c r="I32"/>
  <c r="CD32"/>
  <c r="I33"/>
  <c r="CD33"/>
  <c r="I34"/>
  <c r="CD34"/>
  <c r="I35"/>
  <c r="CD35"/>
  <c r="I36"/>
  <c r="CD36"/>
  <c r="I37"/>
  <c r="CD37"/>
  <c r="I38"/>
  <c r="CD38"/>
  <c r="CD39"/>
  <c r="I40"/>
  <c r="CD40"/>
  <c r="I41"/>
  <c r="CD41"/>
  <c r="I42"/>
  <c r="CD42"/>
  <c r="I43"/>
  <c r="CD43"/>
  <c r="I45"/>
  <c r="I46"/>
  <c r="I47"/>
  <c r="I48"/>
  <c r="CD49"/>
  <c r="I50"/>
  <c r="CD50"/>
  <c r="I51"/>
  <c r="CD51"/>
  <c r="I52"/>
  <c r="CD52"/>
  <c r="CD54"/>
  <c r="P64"/>
  <c r="P68" s="1"/>
  <c r="P74"/>
  <c r="P76" s="1"/>
  <c r="N87"/>
  <c r="N89" s="1"/>
  <c r="N91" s="1"/>
  <c r="X8" i="47"/>
  <c r="X9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D52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BY8"/>
  <c r="BY9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10"/>
  <c r="BY11"/>
  <c r="AL52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BZ8"/>
  <c r="BZ53" s="1"/>
  <c r="AS52" s="1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AT52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CA8"/>
  <c r="CA9"/>
  <c r="CA53" s="1"/>
  <c r="BA52" s="1"/>
  <c r="BD52" s="1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BB52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CB8"/>
  <c r="CB9"/>
  <c r="CB10"/>
  <c r="CB11"/>
  <c r="CB12"/>
  <c r="CB53" s="1"/>
  <c r="BI52" s="1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BJ52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CC8"/>
  <c r="CC9"/>
  <c r="CC10"/>
  <c r="CC11"/>
  <c r="CC12"/>
  <c r="CC13"/>
  <c r="CC53" s="1"/>
  <c r="BQ52" s="1"/>
  <c r="BT52" s="1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BR5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G3" i="48"/>
  <c r="H3" s="1"/>
  <c r="G53" s="1"/>
  <c r="N5"/>
  <c r="O5" s="1"/>
  <c r="D7"/>
  <c r="P7"/>
  <c r="T7"/>
  <c r="D8"/>
  <c r="P8"/>
  <c r="T8"/>
  <c r="D9"/>
  <c r="P9"/>
  <c r="T9"/>
  <c r="D10"/>
  <c r="P10"/>
  <c r="D11"/>
  <c r="P11"/>
  <c r="D12"/>
  <c r="P12"/>
  <c r="D13"/>
  <c r="P13"/>
  <c r="D14"/>
  <c r="P14"/>
  <c r="D15"/>
  <c r="P15"/>
  <c r="D16"/>
  <c r="P16"/>
  <c r="D17"/>
  <c r="P17"/>
  <c r="D18"/>
  <c r="P18"/>
  <c r="D19"/>
  <c r="P19"/>
  <c r="D20"/>
  <c r="P20"/>
  <c r="D21"/>
  <c r="P21"/>
  <c r="D22"/>
  <c r="P22"/>
  <c r="D23"/>
  <c r="P23"/>
  <c r="D24"/>
  <c r="P24"/>
  <c r="D25"/>
  <c r="P25"/>
  <c r="D26"/>
  <c r="P26"/>
  <c r="D27"/>
  <c r="P27"/>
  <c r="D28"/>
  <c r="P28"/>
  <c r="D29"/>
  <c r="P29"/>
  <c r="D30"/>
  <c r="P30"/>
  <c r="D31"/>
  <c r="P31"/>
  <c r="D32"/>
  <c r="P32"/>
  <c r="D33"/>
  <c r="P33"/>
  <c r="D34"/>
  <c r="P34"/>
  <c r="D35"/>
  <c r="P35"/>
  <c r="D36"/>
  <c r="P36"/>
  <c r="D37"/>
  <c r="P37"/>
  <c r="D38"/>
  <c r="P38"/>
  <c r="D39"/>
  <c r="P39"/>
  <c r="D40"/>
  <c r="P40"/>
  <c r="D41"/>
  <c r="P41"/>
  <c r="D42"/>
  <c r="P42"/>
  <c r="D43"/>
  <c r="P43"/>
  <c r="D44"/>
  <c r="P44"/>
  <c r="D45"/>
  <c r="P45"/>
  <c r="D46"/>
  <c r="P46"/>
  <c r="D47"/>
  <c r="P47"/>
  <c r="D48"/>
  <c r="P48"/>
  <c r="D49"/>
  <c r="P49"/>
  <c r="D50"/>
  <c r="P50"/>
  <c r="E52"/>
  <c r="F52"/>
  <c r="G52"/>
  <c r="H52"/>
  <c r="I52"/>
  <c r="P52" s="1"/>
  <c r="J52"/>
  <c r="K52"/>
  <c r="L52"/>
  <c r="M52"/>
  <c r="N52"/>
  <c r="O52"/>
  <c r="H16" i="49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9"/>
  <c r="J29"/>
  <c r="H30"/>
  <c r="J30"/>
  <c r="H31"/>
  <c r="J31"/>
  <c r="H32"/>
  <c r="J32"/>
  <c r="H33"/>
  <c r="J33"/>
  <c r="H34"/>
  <c r="J34"/>
  <c r="H35"/>
  <c r="J35"/>
  <c r="H28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Q14" i="51"/>
  <c r="L12" i="52"/>
  <c r="N12"/>
  <c r="L13"/>
  <c r="N13"/>
  <c r="L14"/>
  <c r="N14"/>
  <c r="L15"/>
  <c r="N15"/>
  <c r="L16"/>
  <c r="N16"/>
  <c r="L17"/>
  <c r="N17"/>
  <c r="L18"/>
  <c r="N18"/>
  <c r="L19"/>
  <c r="N19"/>
  <c r="L20"/>
  <c r="N20"/>
  <c r="L21"/>
  <c r="N21"/>
  <c r="L27"/>
  <c r="L29"/>
  <c r="R29" s="1"/>
  <c r="L42"/>
  <c r="N42" s="1"/>
  <c r="L43"/>
  <c r="N43"/>
  <c r="L44"/>
  <c r="N44"/>
  <c r="L45"/>
  <c r="N45"/>
  <c r="L46"/>
  <c r="N46"/>
  <c r="L47"/>
  <c r="N47"/>
  <c r="L48"/>
  <c r="N48"/>
  <c r="L49"/>
  <c r="N49"/>
  <c r="L50"/>
  <c r="N50"/>
  <c r="L51"/>
  <c r="N51"/>
  <c r="J57"/>
  <c r="L57"/>
  <c r="R59" s="1"/>
  <c r="L59"/>
  <c r="R61"/>
  <c r="L72"/>
  <c r="N72" s="1"/>
  <c r="L73"/>
  <c r="N73" s="1"/>
  <c r="L74"/>
  <c r="N74"/>
  <c r="L75"/>
  <c r="N75"/>
  <c r="L76"/>
  <c r="N76"/>
  <c r="L77"/>
  <c r="N77"/>
  <c r="L78"/>
  <c r="N78"/>
  <c r="L79"/>
  <c r="N79"/>
  <c r="L80"/>
  <c r="N80"/>
  <c r="L81"/>
  <c r="N81"/>
  <c r="J87"/>
  <c r="L87" s="1"/>
  <c r="R89" s="1"/>
  <c r="L89"/>
  <c r="R91"/>
  <c r="L102"/>
  <c r="N102"/>
  <c r="L103"/>
  <c r="N103"/>
  <c r="L104"/>
  <c r="N104"/>
  <c r="L105"/>
  <c r="N105"/>
  <c r="L106"/>
  <c r="N106"/>
  <c r="L107"/>
  <c r="N107"/>
  <c r="L108"/>
  <c r="N108"/>
  <c r="L109"/>
  <c r="L113" s="1"/>
  <c r="N109"/>
  <c r="L110"/>
  <c r="N110"/>
  <c r="L111"/>
  <c r="N111"/>
  <c r="J117"/>
  <c r="L117"/>
  <c r="R119" s="1"/>
  <c r="L119"/>
  <c r="R121"/>
  <c r="L132"/>
  <c r="N132" s="1"/>
  <c r="L133"/>
  <c r="N133" s="1"/>
  <c r="L134"/>
  <c r="N134" s="1"/>
  <c r="L135"/>
  <c r="N135" s="1"/>
  <c r="L136"/>
  <c r="N136" s="1"/>
  <c r="L137"/>
  <c r="N137" s="1"/>
  <c r="L138"/>
  <c r="N138" s="1"/>
  <c r="L139"/>
  <c r="N139" s="1"/>
  <c r="L140"/>
  <c r="N140" s="1"/>
  <c r="L141"/>
  <c r="N141" s="1"/>
  <c r="L143"/>
  <c r="J147"/>
  <c r="L147"/>
  <c r="L149"/>
  <c r="R149"/>
  <c r="R151"/>
  <c r="L162"/>
  <c r="N162" s="1"/>
  <c r="L163"/>
  <c r="N163" s="1"/>
  <c r="L164"/>
  <c r="N164" s="1"/>
  <c r="L165"/>
  <c r="N165" s="1"/>
  <c r="L166"/>
  <c r="N166" s="1"/>
  <c r="L167"/>
  <c r="N167" s="1"/>
  <c r="L168"/>
  <c r="N168" s="1"/>
  <c r="L169"/>
  <c r="N169" s="1"/>
  <c r="L170"/>
  <c r="N170" s="1"/>
  <c r="L171"/>
  <c r="N171" s="1"/>
  <c r="J177"/>
  <c r="L177" s="1"/>
  <c r="R179" s="1"/>
  <c r="L179"/>
  <c r="R181"/>
  <c r="L192"/>
  <c r="N192"/>
  <c r="L193"/>
  <c r="L203" s="1"/>
  <c r="N193"/>
  <c r="L194"/>
  <c r="N194"/>
  <c r="L195"/>
  <c r="N195"/>
  <c r="L196"/>
  <c r="N196"/>
  <c r="L197"/>
  <c r="N197"/>
  <c r="L198"/>
  <c r="N198"/>
  <c r="L199"/>
  <c r="N199"/>
  <c r="L200"/>
  <c r="N200"/>
  <c r="L201"/>
  <c r="N201"/>
  <c r="J207"/>
  <c r="L207" s="1"/>
  <c r="R209" s="1"/>
  <c r="L209"/>
  <c r="R211"/>
  <c r="L222"/>
  <c r="N222"/>
  <c r="L223"/>
  <c r="N223"/>
  <c r="L224"/>
  <c r="N224"/>
  <c r="L225"/>
  <c r="N225"/>
  <c r="L226"/>
  <c r="N226"/>
  <c r="L227"/>
  <c r="N227"/>
  <c r="L228"/>
  <c r="N228"/>
  <c r="L229"/>
  <c r="N229"/>
  <c r="L230"/>
  <c r="N230"/>
  <c r="L231"/>
  <c r="N231"/>
  <c r="J237"/>
  <c r="L237"/>
  <c r="R239" s="1"/>
  <c r="L239"/>
  <c r="R241"/>
  <c r="S14" i="53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G13"/>
  <c r="G14"/>
  <c r="M14"/>
  <c r="G15"/>
  <c r="M15"/>
  <c r="G16"/>
  <c r="M16"/>
  <c r="G17"/>
  <c r="M17"/>
  <c r="G18"/>
  <c r="M18"/>
  <c r="G19"/>
  <c r="M19"/>
  <c r="G20"/>
  <c r="M20"/>
  <c r="G21"/>
  <c r="M21"/>
  <c r="G22"/>
  <c r="M22"/>
  <c r="G23"/>
  <c r="M23"/>
  <c r="G24"/>
  <c r="M24"/>
  <c r="G25"/>
  <c r="M25"/>
  <c r="G26"/>
  <c r="M26"/>
  <c r="G27"/>
  <c r="M27"/>
  <c r="G28"/>
  <c r="M28"/>
  <c r="G29"/>
  <c r="M29"/>
  <c r="G30"/>
  <c r="M30"/>
  <c r="G31"/>
  <c r="M31"/>
  <c r="G32"/>
  <c r="M32"/>
  <c r="G33"/>
  <c r="M33"/>
  <c r="G34"/>
  <c r="M34"/>
  <c r="G35"/>
  <c r="M35"/>
  <c r="G36"/>
  <c r="M36"/>
  <c r="G37"/>
  <c r="M37"/>
  <c r="G38"/>
  <c r="M38"/>
  <c r="G39"/>
  <c r="M39"/>
  <c r="G40"/>
  <c r="M40"/>
  <c r="G41"/>
  <c r="M41"/>
  <c r="G42"/>
  <c r="M42"/>
  <c r="G43"/>
  <c r="M43"/>
  <c r="G44"/>
  <c r="M44"/>
  <c r="G45"/>
  <c r="M45"/>
  <c r="G46"/>
  <c r="M46"/>
  <c r="G47"/>
  <c r="M47"/>
  <c r="G48"/>
  <c r="M48"/>
  <c r="G49"/>
  <c r="M49"/>
  <c r="G50"/>
  <c r="M50"/>
  <c r="G51"/>
  <c r="M51"/>
  <c r="G52"/>
  <c r="M52"/>
  <c r="G53"/>
  <c r="M53"/>
  <c r="G54"/>
  <c r="M54"/>
  <c r="G55"/>
  <c r="M55"/>
  <c r="G56"/>
  <c r="M56"/>
  <c r="G57"/>
  <c r="M57"/>
  <c r="G58"/>
  <c r="M58"/>
  <c r="G59"/>
  <c r="M59"/>
  <c r="G60"/>
  <c r="M60"/>
  <c r="G61"/>
  <c r="M61"/>
  <c r="G62"/>
  <c r="M62"/>
  <c r="G63"/>
  <c r="M63"/>
  <c r="G64"/>
  <c r="M64"/>
  <c r="G65"/>
  <c r="M65"/>
  <c r="G66"/>
  <c r="M66"/>
  <c r="G67"/>
  <c r="M67"/>
  <c r="G68"/>
  <c r="M68"/>
  <c r="G69"/>
  <c r="M69"/>
  <c r="G70"/>
  <c r="M70"/>
  <c r="G71"/>
  <c r="M71"/>
  <c r="G72"/>
  <c r="M72"/>
  <c r="G73"/>
  <c r="M73"/>
  <c r="G74"/>
  <c r="M74"/>
  <c r="G75"/>
  <c r="M75"/>
  <c r="G76"/>
  <c r="M76"/>
  <c r="G77"/>
  <c r="M77"/>
  <c r="G78"/>
  <c r="M78"/>
  <c r="G79"/>
  <c r="M79"/>
  <c r="G80"/>
  <c r="M80"/>
  <c r="G81"/>
  <c r="M81"/>
  <c r="G82"/>
  <c r="M82"/>
  <c r="G83"/>
  <c r="M83"/>
  <c r="G84"/>
  <c r="M84"/>
  <c r="G85"/>
  <c r="M85"/>
  <c r="G86"/>
  <c r="M86"/>
  <c r="G87"/>
  <c r="M87"/>
  <c r="G88"/>
  <c r="M88"/>
  <c r="G89"/>
  <c r="M89"/>
  <c r="G90"/>
  <c r="M90"/>
  <c r="G91"/>
  <c r="M91"/>
  <c r="G92"/>
  <c r="M92"/>
  <c r="G93"/>
  <c r="M93"/>
  <c r="G94"/>
  <c r="M94"/>
  <c r="G95"/>
  <c r="M95"/>
  <c r="G96"/>
  <c r="M96"/>
  <c r="G97"/>
  <c r="M97"/>
  <c r="G98"/>
  <c r="M98"/>
  <c r="G99"/>
  <c r="M99"/>
  <c r="G100"/>
  <c r="M100"/>
  <c r="G101"/>
  <c r="M101"/>
  <c r="G102"/>
  <c r="M102"/>
  <c r="G103"/>
  <c r="M103"/>
  <c r="G104"/>
  <c r="M104"/>
  <c r="G105"/>
  <c r="M105"/>
  <c r="G106"/>
  <c r="M106"/>
  <c r="G107"/>
  <c r="M107"/>
  <c r="G108"/>
  <c r="M108"/>
  <c r="G109"/>
  <c r="M109"/>
  <c r="G110"/>
  <c r="M110"/>
  <c r="G111"/>
  <c r="M111"/>
  <c r="G112"/>
  <c r="M112"/>
  <c r="G113"/>
  <c r="M113"/>
  <c r="G114"/>
  <c r="M114"/>
  <c r="G115"/>
  <c r="M115"/>
  <c r="G116"/>
  <c r="M116"/>
  <c r="G117"/>
  <c r="M117"/>
  <c r="G118"/>
  <c r="M118"/>
  <c r="G119"/>
  <c r="M119"/>
  <c r="G120"/>
  <c r="M120"/>
  <c r="G121"/>
  <c r="M121"/>
  <c r="G122"/>
  <c r="M122"/>
  <c r="G123"/>
  <c r="M123"/>
  <c r="G124"/>
  <c r="M124"/>
  <c r="G125"/>
  <c r="M125"/>
  <c r="G126"/>
  <c r="M126"/>
  <c r="G127"/>
  <c r="M127"/>
  <c r="G128"/>
  <c r="M128"/>
  <c r="G129"/>
  <c r="M129"/>
  <c r="G130"/>
  <c r="M130"/>
  <c r="G131"/>
  <c r="M131"/>
  <c r="G132"/>
  <c r="M132"/>
  <c r="G133"/>
  <c r="M133"/>
  <c r="G134"/>
  <c r="M134"/>
  <c r="G135"/>
  <c r="M135"/>
  <c r="G136"/>
  <c r="M136"/>
  <c r="G137"/>
  <c r="M137"/>
  <c r="G138"/>
  <c r="M138"/>
  <c r="G139"/>
  <c r="M139"/>
  <c r="G140"/>
  <c r="M140"/>
  <c r="G141"/>
  <c r="M141"/>
  <c r="G142"/>
  <c r="M142"/>
  <c r="G143"/>
  <c r="M143"/>
  <c r="G144"/>
  <c r="M144"/>
  <c r="G145"/>
  <c r="M145"/>
  <c r="G146"/>
  <c r="M146"/>
  <c r="G147"/>
  <c r="M147"/>
  <c r="G148"/>
  <c r="M148"/>
  <c r="G149"/>
  <c r="M149"/>
  <c r="G150"/>
  <c r="M150"/>
  <c r="G151"/>
  <c r="M151"/>
  <c r="G152"/>
  <c r="M152"/>
  <c r="G153"/>
  <c r="M153"/>
  <c r="G154"/>
  <c r="M154"/>
  <c r="G155"/>
  <c r="M155"/>
  <c r="G156"/>
  <c r="M156"/>
  <c r="G157"/>
  <c r="M157"/>
  <c r="G158"/>
  <c r="M158"/>
  <c r="G159"/>
  <c r="M159"/>
  <c r="G160"/>
  <c r="M160"/>
  <c r="G161"/>
  <c r="M161"/>
  <c r="G162"/>
  <c r="M162"/>
  <c r="G163"/>
  <c r="M163"/>
  <c r="G164"/>
  <c r="M164"/>
  <c r="G165"/>
  <c r="M165"/>
  <c r="G166"/>
  <c r="M166"/>
  <c r="G167"/>
  <c r="M167"/>
  <c r="G168"/>
  <c r="M168"/>
  <c r="G169"/>
  <c r="M169"/>
  <c r="G170"/>
  <c r="M170"/>
  <c r="G171"/>
  <c r="M171"/>
  <c r="G172"/>
  <c r="M172"/>
  <c r="G173"/>
  <c r="M173"/>
  <c r="G174"/>
  <c r="M174"/>
  <c r="G175"/>
  <c r="M175"/>
  <c r="G176"/>
  <c r="M176"/>
  <c r="G177"/>
  <c r="M177"/>
  <c r="G178"/>
  <c r="M178"/>
  <c r="G179"/>
  <c r="M179"/>
  <c r="G180"/>
  <c r="M180"/>
  <c r="G181"/>
  <c r="M181"/>
  <c r="G182"/>
  <c r="M182"/>
  <c r="G183"/>
  <c r="M183"/>
  <c r="G184"/>
  <c r="M184"/>
  <c r="G185"/>
  <c r="M185"/>
  <c r="G186"/>
  <c r="M186"/>
  <c r="G187"/>
  <c r="M187"/>
  <c r="G188"/>
  <c r="M188"/>
  <c r="G189"/>
  <c r="M189"/>
  <c r="G190"/>
  <c r="M190"/>
  <c r="G191"/>
  <c r="M191"/>
  <c r="G192"/>
  <c r="M192"/>
  <c r="G193"/>
  <c r="M193"/>
  <c r="G194"/>
  <c r="M194"/>
  <c r="G195"/>
  <c r="M195"/>
  <c r="G196"/>
  <c r="M196"/>
  <c r="G197"/>
  <c r="M197"/>
  <c r="G198"/>
  <c r="M198"/>
  <c r="G199"/>
  <c r="M199"/>
  <c r="G200"/>
  <c r="M200"/>
  <c r="G201"/>
  <c r="M201"/>
  <c r="G202"/>
  <c r="M202"/>
  <c r="G203"/>
  <c r="M203"/>
  <c r="G204"/>
  <c r="M204"/>
  <c r="G205"/>
  <c r="M205"/>
  <c r="G206"/>
  <c r="M206"/>
  <c r="G207"/>
  <c r="M207"/>
  <c r="G208"/>
  <c r="M208"/>
  <c r="G209"/>
  <c r="M209"/>
  <c r="G210"/>
  <c r="M210"/>
  <c r="G211"/>
  <c r="M211"/>
  <c r="G212"/>
  <c r="M212"/>
  <c r="G213"/>
  <c r="M213"/>
  <c r="G214"/>
  <c r="M214"/>
  <c r="G215"/>
  <c r="M215"/>
  <c r="G216"/>
  <c r="M216"/>
  <c r="G217"/>
  <c r="M217"/>
  <c r="G218"/>
  <c r="M218"/>
  <c r="G219"/>
  <c r="M219"/>
  <c r="G220"/>
  <c r="M220"/>
  <c r="G221"/>
  <c r="M221"/>
  <c r="G222"/>
  <c r="M222"/>
  <c r="G223"/>
  <c r="M223"/>
  <c r="G224"/>
  <c r="M224"/>
  <c r="G225"/>
  <c r="M225"/>
  <c r="G226"/>
  <c r="M226"/>
  <c r="G227"/>
  <c r="M227"/>
  <c r="G228"/>
  <c r="M228"/>
  <c r="G229"/>
  <c r="M229"/>
  <c r="G230"/>
  <c r="M230"/>
  <c r="G231"/>
  <c r="M231"/>
  <c r="G232"/>
  <c r="M232"/>
  <c r="G233"/>
  <c r="M233"/>
  <c r="G234"/>
  <c r="M234"/>
  <c r="G235"/>
  <c r="M235"/>
  <c r="G236"/>
  <c r="M236"/>
  <c r="G237"/>
  <c r="M237"/>
  <c r="G238"/>
  <c r="M238"/>
  <c r="G239"/>
  <c r="M239"/>
  <c r="G240"/>
  <c r="M240"/>
  <c r="G241"/>
  <c r="M241"/>
  <c r="G242"/>
  <c r="M242"/>
  <c r="G243"/>
  <c r="M243"/>
  <c r="G244"/>
  <c r="M244"/>
  <c r="G245"/>
  <c r="M245"/>
  <c r="G246"/>
  <c r="M246"/>
  <c r="G247"/>
  <c r="M247"/>
  <c r="G248"/>
  <c r="M248"/>
  <c r="G249"/>
  <c r="M249"/>
  <c r="G250"/>
  <c r="M250"/>
  <c r="G251"/>
  <c r="M251"/>
  <c r="G252"/>
  <c r="M252"/>
  <c r="G253"/>
  <c r="M253"/>
  <c r="G254"/>
  <c r="M254"/>
  <c r="G255"/>
  <c r="M255"/>
  <c r="G256"/>
  <c r="M256"/>
  <c r="G257"/>
  <c r="M257"/>
  <c r="G258"/>
  <c r="M258"/>
  <c r="G259"/>
  <c r="M259"/>
  <c r="G260"/>
  <c r="M260"/>
  <c r="G261"/>
  <c r="M261"/>
  <c r="G262"/>
  <c r="M262"/>
  <c r="G263"/>
  <c r="M263"/>
  <c r="G264"/>
  <c r="M264"/>
  <c r="G265"/>
  <c r="M265"/>
  <c r="G266"/>
  <c r="M266"/>
  <c r="G267"/>
  <c r="M267"/>
  <c r="G268"/>
  <c r="M268"/>
  <c r="G269"/>
  <c r="M269"/>
  <c r="G270"/>
  <c r="M270"/>
  <c r="G271"/>
  <c r="M271"/>
  <c r="G272"/>
  <c r="M272"/>
  <c r="G273"/>
  <c r="M273"/>
  <c r="G274"/>
  <c r="M274"/>
  <c r="G275"/>
  <c r="M275"/>
  <c r="G276"/>
  <c r="M276"/>
  <c r="G277"/>
  <c r="M277"/>
  <c r="G278"/>
  <c r="M278"/>
  <c r="G279"/>
  <c r="M279"/>
  <c r="G280"/>
  <c r="M280"/>
  <c r="G281"/>
  <c r="M281"/>
  <c r="G282"/>
  <c r="M282"/>
  <c r="G283"/>
  <c r="M283"/>
  <c r="G284"/>
  <c r="M284"/>
  <c r="G285"/>
  <c r="M285"/>
  <c r="G286"/>
  <c r="M286"/>
  <c r="G287"/>
  <c r="M287"/>
  <c r="G288"/>
  <c r="M288"/>
  <c r="G289"/>
  <c r="M289"/>
  <c r="G290"/>
  <c r="M290"/>
  <c r="G291"/>
  <c r="M291"/>
  <c r="G292"/>
  <c r="M292"/>
  <c r="G293"/>
  <c r="M293"/>
  <c r="G294"/>
  <c r="M294"/>
  <c r="G295"/>
  <c r="M295"/>
  <c r="G296"/>
  <c r="M296"/>
  <c r="G297"/>
  <c r="M297"/>
  <c r="G298"/>
  <c r="M298"/>
  <c r="G299"/>
  <c r="M299"/>
  <c r="G300"/>
  <c r="M300"/>
  <c r="G301"/>
  <c r="M301"/>
  <c r="G302"/>
  <c r="M302"/>
  <c r="G303"/>
  <c r="M303"/>
  <c r="G304"/>
  <c r="M304"/>
  <c r="G305"/>
  <c r="M305"/>
  <c r="G306"/>
  <c r="M306"/>
  <c r="G307"/>
  <c r="M307"/>
  <c r="G308"/>
  <c r="M308"/>
  <c r="G309"/>
  <c r="M309"/>
  <c r="G310"/>
  <c r="M310"/>
  <c r="G311"/>
  <c r="M311"/>
  <c r="G312"/>
  <c r="M312"/>
  <c r="G313"/>
  <c r="M313"/>
  <c r="G314"/>
  <c r="M314"/>
  <c r="G315"/>
  <c r="M315"/>
  <c r="G316"/>
  <c r="M316"/>
  <c r="G317"/>
  <c r="M317"/>
  <c r="G318"/>
  <c r="M318"/>
  <c r="G319"/>
  <c r="M319"/>
  <c r="G320"/>
  <c r="M320"/>
  <c r="G321"/>
  <c r="M321"/>
  <c r="G322"/>
  <c r="M322"/>
  <c r="G323"/>
  <c r="M323"/>
  <c r="G324"/>
  <c r="M324"/>
  <c r="G325"/>
  <c r="M325"/>
  <c r="G326"/>
  <c r="M326"/>
  <c r="G327"/>
  <c r="M327"/>
  <c r="G328"/>
  <c r="M328"/>
  <c r="G329"/>
  <c r="M329"/>
  <c r="G330"/>
  <c r="M330"/>
  <c r="G331"/>
  <c r="M331"/>
  <c r="G332"/>
  <c r="M332"/>
  <c r="G333"/>
  <c r="M333"/>
  <c r="G334"/>
  <c r="M334"/>
  <c r="G335"/>
  <c r="M335"/>
  <c r="G336"/>
  <c r="M336"/>
  <c r="G337"/>
  <c r="M337"/>
  <c r="L25" i="54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22" i="56"/>
  <c r="I23"/>
  <c r="I29"/>
  <c r="I37"/>
  <c r="I39" s="1"/>
  <c r="G45"/>
  <c r="H45"/>
  <c r="D16" i="57"/>
  <c r="H14" s="1"/>
  <c r="C4" i="58"/>
  <c r="C7"/>
  <c r="I145" i="59"/>
  <c r="X52" i="47"/>
  <c r="X10"/>
  <c r="AU14" i="46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C57" i="58"/>
  <c r="J65"/>
  <c r="D75"/>
  <c r="F2" i="59"/>
  <c r="D5"/>
  <c r="F159"/>
  <c r="I8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134"/>
  <c r="B192"/>
  <c r="E194"/>
  <c r="I194"/>
  <c r="G6" i="60"/>
  <c r="G31" s="1"/>
  <c r="G7"/>
  <c r="G32" s="1"/>
  <c r="G8"/>
  <c r="G33" s="1"/>
  <c r="O11"/>
  <c r="O36" s="1"/>
  <c r="G9"/>
  <c r="G34" s="1"/>
  <c r="G10"/>
  <c r="G35"/>
  <c r="G36"/>
  <c r="R193" i="37"/>
  <c r="L189"/>
  <c r="R191" s="1"/>
  <c r="L191"/>
  <c r="L174"/>
  <c r="N174"/>
  <c r="P174"/>
  <c r="P185" s="1"/>
  <c r="L175"/>
  <c r="N175" s="1"/>
  <c r="P175"/>
  <c r="R175" s="1"/>
  <c r="L176"/>
  <c r="N176" s="1"/>
  <c r="P176"/>
  <c r="R176"/>
  <c r="L177"/>
  <c r="N177" s="1"/>
  <c r="R177" s="1"/>
  <c r="P177"/>
  <c r="L178"/>
  <c r="N178" s="1"/>
  <c r="P178"/>
  <c r="L179"/>
  <c r="N179" s="1"/>
  <c r="P179"/>
  <c r="R179" s="1"/>
  <c r="L180"/>
  <c r="N180" s="1"/>
  <c r="P180"/>
  <c r="R180"/>
  <c r="L181"/>
  <c r="N181" s="1"/>
  <c r="R181" s="1"/>
  <c r="P181"/>
  <c r="L182"/>
  <c r="N182" s="1"/>
  <c r="P182"/>
  <c r="L183"/>
  <c r="N183" s="1"/>
  <c r="P183"/>
  <c r="R183" s="1"/>
  <c r="R159"/>
  <c r="L155"/>
  <c r="R157" s="1"/>
  <c r="L157"/>
  <c r="L140"/>
  <c r="N140"/>
  <c r="P140"/>
  <c r="P151" s="1"/>
  <c r="L141"/>
  <c r="N141"/>
  <c r="P141"/>
  <c r="L142"/>
  <c r="N142" s="1"/>
  <c r="R142" s="1"/>
  <c r="P142"/>
  <c r="L143"/>
  <c r="N143" s="1"/>
  <c r="P143"/>
  <c r="L144"/>
  <c r="N144" s="1"/>
  <c r="R144" s="1"/>
  <c r="P144"/>
  <c r="L145"/>
  <c r="N145"/>
  <c r="P145"/>
  <c r="L146"/>
  <c r="N146" s="1"/>
  <c r="R146" s="1"/>
  <c r="P146"/>
  <c r="L147"/>
  <c r="N147" s="1"/>
  <c r="P147"/>
  <c r="L148"/>
  <c r="N148" s="1"/>
  <c r="R148" s="1"/>
  <c r="P148"/>
  <c r="L149"/>
  <c r="N149"/>
  <c r="R149" s="1"/>
  <c r="P149"/>
  <c r="R129"/>
  <c r="L125"/>
  <c r="R127" s="1"/>
  <c r="L127"/>
  <c r="L110"/>
  <c r="N110" s="1"/>
  <c r="P110"/>
  <c r="P121" s="1"/>
  <c r="L111"/>
  <c r="N111" s="1"/>
  <c r="P111"/>
  <c r="R111" s="1"/>
  <c r="L112"/>
  <c r="N112" s="1"/>
  <c r="P112"/>
  <c r="L113"/>
  <c r="N113" s="1"/>
  <c r="R113" s="1"/>
  <c r="P113"/>
  <c r="L114"/>
  <c r="N114" s="1"/>
  <c r="P114"/>
  <c r="R114" s="1"/>
  <c r="L115"/>
  <c r="N115" s="1"/>
  <c r="P115"/>
  <c r="R115" s="1"/>
  <c r="L116"/>
  <c r="N116" s="1"/>
  <c r="P116"/>
  <c r="L117"/>
  <c r="N117" s="1"/>
  <c r="R117" s="1"/>
  <c r="P117"/>
  <c r="L118"/>
  <c r="N118" s="1"/>
  <c r="P118"/>
  <c r="R118" s="1"/>
  <c r="L119"/>
  <c r="N119" s="1"/>
  <c r="P119"/>
  <c r="R119"/>
  <c r="R95"/>
  <c r="L91"/>
  <c r="R93"/>
  <c r="L93"/>
  <c r="L76"/>
  <c r="N76"/>
  <c r="P76"/>
  <c r="P87" s="1"/>
  <c r="L77"/>
  <c r="N77"/>
  <c r="P77"/>
  <c r="L78"/>
  <c r="N78" s="1"/>
  <c r="P78"/>
  <c r="L79"/>
  <c r="N79" s="1"/>
  <c r="R79" s="1"/>
  <c r="P79"/>
  <c r="L80"/>
  <c r="N80"/>
  <c r="P80"/>
  <c r="L81"/>
  <c r="N81"/>
  <c r="P81"/>
  <c r="L82"/>
  <c r="N82" s="1"/>
  <c r="R82" s="1"/>
  <c r="P82"/>
  <c r="L83"/>
  <c r="N83" s="1"/>
  <c r="P83"/>
  <c r="L84"/>
  <c r="N84"/>
  <c r="R84" s="1"/>
  <c r="P84"/>
  <c r="L85"/>
  <c r="N85"/>
  <c r="P85"/>
  <c r="L46"/>
  <c r="N46"/>
  <c r="P46"/>
  <c r="P57" s="1"/>
  <c r="L47"/>
  <c r="N47" s="1"/>
  <c r="P47"/>
  <c r="R47"/>
  <c r="L48"/>
  <c r="N48" s="1"/>
  <c r="R48" s="1"/>
  <c r="P48"/>
  <c r="L49"/>
  <c r="N49" s="1"/>
  <c r="P49"/>
  <c r="L50"/>
  <c r="N50" s="1"/>
  <c r="P50"/>
  <c r="R50" s="1"/>
  <c r="L51"/>
  <c r="N51" s="1"/>
  <c r="P51"/>
  <c r="R51"/>
  <c r="L52"/>
  <c r="N52" s="1"/>
  <c r="R52" s="1"/>
  <c r="P52"/>
  <c r="L53"/>
  <c r="N53" s="1"/>
  <c r="P53"/>
  <c r="L54"/>
  <c r="N54" s="1"/>
  <c r="P54"/>
  <c r="R54" s="1"/>
  <c r="L55"/>
  <c r="N55" s="1"/>
  <c r="P55"/>
  <c r="R55" s="1"/>
  <c r="L61"/>
  <c r="R63" s="1"/>
  <c r="L63"/>
  <c r="R65"/>
  <c r="L57"/>
  <c r="L13"/>
  <c r="N13"/>
  <c r="P13"/>
  <c r="R13" s="1"/>
  <c r="L14"/>
  <c r="N14"/>
  <c r="P14"/>
  <c r="R14" s="1"/>
  <c r="L15"/>
  <c r="N15"/>
  <c r="P15"/>
  <c r="R15" s="1"/>
  <c r="L16"/>
  <c r="N16"/>
  <c r="P16"/>
  <c r="R16" s="1"/>
  <c r="L17"/>
  <c r="N17"/>
  <c r="P17"/>
  <c r="R17" s="1"/>
  <c r="L18"/>
  <c r="N18"/>
  <c r="P18"/>
  <c r="R18" s="1"/>
  <c r="L19"/>
  <c r="N19"/>
  <c r="P19"/>
  <c r="R19" s="1"/>
  <c r="L20"/>
  <c r="N20"/>
  <c r="P20"/>
  <c r="R20" s="1"/>
  <c r="L21"/>
  <c r="N21"/>
  <c r="P21"/>
  <c r="R21" s="1"/>
  <c r="L12"/>
  <c r="N12"/>
  <c r="P12"/>
  <c r="L27"/>
  <c r="L29"/>
  <c r="R29"/>
  <c r="R31"/>
  <c r="F18" i="56"/>
  <c r="CD12" i="46"/>
  <c r="BV14"/>
  <c r="L11" i="47"/>
  <c r="AO14" i="46"/>
  <c r="AR13"/>
  <c r="AR12"/>
  <c r="T10" i="48"/>
  <c r="N14" i="46"/>
  <c r="Q14"/>
  <c r="U14"/>
  <c r="Q12"/>
  <c r="AG12"/>
  <c r="CD13"/>
  <c r="AK14"/>
  <c r="BT14"/>
  <c r="Z14"/>
  <c r="AA14" s="1"/>
  <c r="AF14"/>
  <c r="AG14" s="1"/>
  <c r="AC14"/>
  <c r="AM14"/>
  <c r="AD13"/>
  <c r="AD12"/>
  <c r="AE12" s="1"/>
  <c r="AX12"/>
  <c r="AF11"/>
  <c r="Q11"/>
  <c r="AD11"/>
  <c r="BN11"/>
  <c r="BR11" s="1"/>
  <c r="AE11"/>
  <c r="J53" i="48"/>
  <c r="J55"/>
  <c r="L53"/>
  <c r="L55" s="1"/>
  <c r="N53"/>
  <c r="N55" s="1"/>
  <c r="K53"/>
  <c r="K55" s="1"/>
  <c r="M53"/>
  <c r="O53"/>
  <c r="O55" s="1"/>
  <c r="G127" i="59"/>
  <c r="L233" i="52"/>
  <c r="L173"/>
  <c r="L53"/>
  <c r="L23"/>
  <c r="F53" i="48"/>
  <c r="F55" s="1"/>
  <c r="H53"/>
  <c r="H55"/>
  <c r="I53"/>
  <c r="I55" s="1"/>
  <c r="Q15" i="51"/>
  <c r="Q16" s="1"/>
  <c r="G55" i="48"/>
  <c r="CC12" i="46"/>
  <c r="CB12"/>
  <c r="E55" i="48"/>
  <c r="CC13" i="46"/>
  <c r="CB13"/>
  <c r="CD53"/>
  <c r="CD48"/>
  <c r="CD47"/>
  <c r="CD46"/>
  <c r="CD45"/>
  <c r="CD44"/>
  <c r="BW11"/>
  <c r="BZ11"/>
  <c r="CA11" s="1"/>
  <c r="X11" i="47"/>
  <c r="AO15" i="46"/>
  <c r="BX13"/>
  <c r="BY13"/>
  <c r="BW14"/>
  <c r="BY12"/>
  <c r="N15"/>
  <c r="Q13"/>
  <c r="AE13"/>
  <c r="AK15"/>
  <c r="Z15"/>
  <c r="G20" i="59"/>
  <c r="AC15" i="46"/>
  <c r="AM15"/>
  <c r="BT15"/>
  <c r="T11" i="48"/>
  <c r="AD14" i="46"/>
  <c r="H19" i="59"/>
  <c r="BL14" i="46"/>
  <c r="BP14"/>
  <c r="AR11"/>
  <c r="BX11" s="1"/>
  <c r="AX11"/>
  <c r="BL60"/>
  <c r="BL62" s="1"/>
  <c r="X12" i="47"/>
  <c r="AO16" i="46"/>
  <c r="BW15"/>
  <c r="AR15"/>
  <c r="U16"/>
  <c r="N16"/>
  <c r="U15"/>
  <c r="BN14"/>
  <c r="BR14"/>
  <c r="Z16"/>
  <c r="AA16" s="1"/>
  <c r="G21" i="59"/>
  <c r="AC16" i="46"/>
  <c r="AM16"/>
  <c r="AK16"/>
  <c r="BT16"/>
  <c r="T12" i="48"/>
  <c r="AF15" i="46"/>
  <c r="AG15"/>
  <c r="AA15"/>
  <c r="AD15"/>
  <c r="BY11"/>
  <c r="X13" i="47"/>
  <c r="BW16" i="46"/>
  <c r="BZ16" s="1"/>
  <c r="CA16" s="1"/>
  <c r="AO17"/>
  <c r="BZ15"/>
  <c r="CA15" s="1"/>
  <c r="Q15"/>
  <c r="N17"/>
  <c r="AC17"/>
  <c r="AM17"/>
  <c r="BT17"/>
  <c r="Z17"/>
  <c r="G22" i="59"/>
  <c r="AK17" i="46"/>
  <c r="T13" i="48"/>
  <c r="AE15" i="46"/>
  <c r="BL15"/>
  <c r="BP15"/>
  <c r="BN15"/>
  <c r="BR15"/>
  <c r="AX15"/>
  <c r="AF16"/>
  <c r="AG16"/>
  <c r="X14" i="47"/>
  <c r="BY15" i="46"/>
  <c r="BW17"/>
  <c r="AR17"/>
  <c r="BX17" s="1"/>
  <c r="AO18"/>
  <c r="AR16"/>
  <c r="BY16" s="1"/>
  <c r="AD16"/>
  <c r="H21" i="59" s="1"/>
  <c r="Q16" i="46"/>
  <c r="U17"/>
  <c r="AZ14"/>
  <c r="BA14" s="1"/>
  <c r="Q18"/>
  <c r="N18"/>
  <c r="BL16"/>
  <c r="BP16"/>
  <c r="AA17"/>
  <c r="AK18"/>
  <c r="BT18"/>
  <c r="Z18"/>
  <c r="G23" i="59"/>
  <c r="AD18" i="46"/>
  <c r="AX18" s="1"/>
  <c r="AC18"/>
  <c r="AM18"/>
  <c r="T14" i="48"/>
  <c r="AX16" i="46"/>
  <c r="AD17"/>
  <c r="BN16"/>
  <c r="BR16"/>
  <c r="X15" i="47"/>
  <c r="BW18" i="46"/>
  <c r="AR18"/>
  <c r="AS18" s="1"/>
  <c r="BZ17"/>
  <c r="CA17" s="1"/>
  <c r="AO19"/>
  <c r="AF18"/>
  <c r="AG18" s="1"/>
  <c r="AZ15"/>
  <c r="BA15" s="1"/>
  <c r="AF17"/>
  <c r="AX17" s="1"/>
  <c r="Q17"/>
  <c r="N19"/>
  <c r="U19"/>
  <c r="BL17"/>
  <c r="BP17"/>
  <c r="U18"/>
  <c r="Z19"/>
  <c r="G24" i="59" s="1"/>
  <c r="AD19" i="46"/>
  <c r="Q19"/>
  <c r="AK19"/>
  <c r="AC19"/>
  <c r="AM19"/>
  <c r="BT19"/>
  <c r="T15" i="48"/>
  <c r="AE17" i="46"/>
  <c r="BN17"/>
  <c r="BR17"/>
  <c r="BN18"/>
  <c r="BR18"/>
  <c r="BL18"/>
  <c r="BP18"/>
  <c r="X16" i="47"/>
  <c r="AO20" i="46"/>
  <c r="BZ18"/>
  <c r="CA18" s="1"/>
  <c r="AR19"/>
  <c r="AS19" s="1"/>
  <c r="BW19"/>
  <c r="BZ19" s="1"/>
  <c r="CA19" s="1"/>
  <c r="U20"/>
  <c r="N20"/>
  <c r="AE19"/>
  <c r="Z20"/>
  <c r="G25" i="59"/>
  <c r="AC20" i="46"/>
  <c r="AM20"/>
  <c r="AK20"/>
  <c r="BT20"/>
  <c r="T16" i="48"/>
  <c r="AF19" i="46"/>
  <c r="AG19" s="1"/>
  <c r="X17" i="47"/>
  <c r="BW20" i="46"/>
  <c r="BZ20"/>
  <c r="CA20" s="1"/>
  <c r="CC20" s="1"/>
  <c r="BX19"/>
  <c r="AZ16"/>
  <c r="BA16" s="1"/>
  <c r="AO21"/>
  <c r="N21"/>
  <c r="AZ17"/>
  <c r="BA17" s="1"/>
  <c r="AZ18"/>
  <c r="BA18"/>
  <c r="BN19"/>
  <c r="BR19"/>
  <c r="AF20"/>
  <c r="BL19"/>
  <c r="BP19"/>
  <c r="Z21"/>
  <c r="AC21"/>
  <c r="AM21"/>
  <c r="BT21"/>
  <c r="AK21"/>
  <c r="T17" i="48"/>
  <c r="AA20" i="46"/>
  <c r="X18" i="47"/>
  <c r="AR20" i="46"/>
  <c r="BY20"/>
  <c r="BW21"/>
  <c r="BZ21" s="1"/>
  <c r="CA21" s="1"/>
  <c r="AR21"/>
  <c r="AO22"/>
  <c r="Q20"/>
  <c r="AD20"/>
  <c r="H25" i="59" s="1"/>
  <c r="U21" i="46"/>
  <c r="N22"/>
  <c r="Q22"/>
  <c r="AK22"/>
  <c r="Z22"/>
  <c r="AA22" s="1"/>
  <c r="G27" i="59"/>
  <c r="AF22" i="46"/>
  <c r="AG22" s="1"/>
  <c r="AC22"/>
  <c r="AM22"/>
  <c r="BT22"/>
  <c r="T18" i="48"/>
  <c r="AG20" i="46"/>
  <c r="BL20"/>
  <c r="BP20"/>
  <c r="AD21"/>
  <c r="AF21"/>
  <c r="H26" i="59" s="1"/>
  <c r="X19" i="47"/>
  <c r="BY21" i="46"/>
  <c r="BW22"/>
  <c r="BZ22" s="1"/>
  <c r="CA22" s="1"/>
  <c r="AR22"/>
  <c r="BY22" s="1"/>
  <c r="AO23"/>
  <c r="BX20"/>
  <c r="AZ19"/>
  <c r="BA19"/>
  <c r="N23"/>
  <c r="U23"/>
  <c r="U22"/>
  <c r="Q21"/>
  <c r="AE20"/>
  <c r="BN20"/>
  <c r="BR20"/>
  <c r="AG21"/>
  <c r="BL21"/>
  <c r="BP21"/>
  <c r="BN21"/>
  <c r="BR21"/>
  <c r="AE21"/>
  <c r="Z23"/>
  <c r="G28" i="59"/>
  <c r="AD23" i="46"/>
  <c r="AE23" s="1"/>
  <c r="AC23"/>
  <c r="AM23"/>
  <c r="BT23"/>
  <c r="Q23"/>
  <c r="AK23"/>
  <c r="T19" i="48"/>
  <c r="AD22" i="46"/>
  <c r="H27" i="59"/>
  <c r="X20" i="47"/>
  <c r="BX22" i="46"/>
  <c r="BW23"/>
  <c r="AR23"/>
  <c r="AO24"/>
  <c r="N24"/>
  <c r="AF23"/>
  <c r="AG23"/>
  <c r="AE22"/>
  <c r="BN22"/>
  <c r="BR22"/>
  <c r="AA23"/>
  <c r="AX23"/>
  <c r="Z24"/>
  <c r="G29" i="59"/>
  <c r="AK24" i="46"/>
  <c r="BT24"/>
  <c r="AC24"/>
  <c r="AM24"/>
  <c r="T20" i="48"/>
  <c r="BN23" i="46"/>
  <c r="BR23"/>
  <c r="BL22"/>
  <c r="BP22"/>
  <c r="X21" i="47"/>
  <c r="BZ23" i="46"/>
  <c r="CA23"/>
  <c r="AO25"/>
  <c r="BW24"/>
  <c r="BZ24"/>
  <c r="CA24"/>
  <c r="CC24" s="1"/>
  <c r="AR24"/>
  <c r="BX24" s="1"/>
  <c r="BY23"/>
  <c r="AS23"/>
  <c r="BL23"/>
  <c r="BP23"/>
  <c r="AZ21"/>
  <c r="BA21" s="1"/>
  <c r="AZ20"/>
  <c r="BA20" s="1"/>
  <c r="U24"/>
  <c r="N25"/>
  <c r="U25"/>
  <c r="AF24"/>
  <c r="AG24"/>
  <c r="AD24"/>
  <c r="AE24" s="1"/>
  <c r="BL24"/>
  <c r="BP24"/>
  <c r="Z25"/>
  <c r="AA25" s="1"/>
  <c r="Q25"/>
  <c r="AK25"/>
  <c r="BT25"/>
  <c r="AC25"/>
  <c r="AM25"/>
  <c r="T21" i="48"/>
  <c r="AA24" i="46"/>
  <c r="X22" i="47"/>
  <c r="BW25" i="46"/>
  <c r="BZ25" s="1"/>
  <c r="CA25" s="1"/>
  <c r="AR25"/>
  <c r="AO26"/>
  <c r="AZ23"/>
  <c r="BA23"/>
  <c r="AZ22"/>
  <c r="BA22" s="1"/>
  <c r="N26"/>
  <c r="Q26"/>
  <c r="R56" s="1"/>
  <c r="F15" i="58" s="1"/>
  <c r="U26" i="46"/>
  <c r="Q24"/>
  <c r="AF25"/>
  <c r="AG25"/>
  <c r="Z26"/>
  <c r="AA26" s="1"/>
  <c r="AF26"/>
  <c r="AG26" s="1"/>
  <c r="AC26"/>
  <c r="AM26"/>
  <c r="AK26"/>
  <c r="BT26"/>
  <c r="T22" i="48"/>
  <c r="BN24" i="46"/>
  <c r="BR24"/>
  <c r="AD25"/>
  <c r="H30" i="59"/>
  <c r="X23" i="47"/>
  <c r="AZ24" i="46"/>
  <c r="BA24" s="1"/>
  <c r="BX25"/>
  <c r="BW26"/>
  <c r="BZ26" s="1"/>
  <c r="CA26" s="1"/>
  <c r="AO27"/>
  <c r="N27"/>
  <c r="AD26"/>
  <c r="BN25"/>
  <c r="BR25"/>
  <c r="Z27"/>
  <c r="AX27" s="1"/>
  <c r="AF27"/>
  <c r="AG27" s="1"/>
  <c r="Q27"/>
  <c r="AK27"/>
  <c r="AC27"/>
  <c r="AM27"/>
  <c r="BT27"/>
  <c r="T23" i="48"/>
  <c r="BL25" i="46"/>
  <c r="BP25"/>
  <c r="X24" i="47"/>
  <c r="AR26" i="46"/>
  <c r="J31" i="59" s="1"/>
  <c r="AR27" i="46"/>
  <c r="BW27"/>
  <c r="BZ27" s="1"/>
  <c r="CA27" s="1"/>
  <c r="AO28"/>
  <c r="AS26"/>
  <c r="AD27"/>
  <c r="H32" i="59" s="1"/>
  <c r="BN27" i="46"/>
  <c r="BR27"/>
  <c r="N28"/>
  <c r="U27"/>
  <c r="Z28"/>
  <c r="G33" i="59"/>
  <c r="AC28" i="46"/>
  <c r="AM28"/>
  <c r="AK28"/>
  <c r="BT28"/>
  <c r="T24" i="48"/>
  <c r="BL27" i="46"/>
  <c r="BP27"/>
  <c r="AX26"/>
  <c r="AE26"/>
  <c r="BL26"/>
  <c r="BP26"/>
  <c r="BN26"/>
  <c r="BR26"/>
  <c r="X25" i="47"/>
  <c r="BW28" i="46"/>
  <c r="BZ28" s="1"/>
  <c r="CA28" s="1"/>
  <c r="BX27"/>
  <c r="AO29"/>
  <c r="U28"/>
  <c r="AZ25"/>
  <c r="BA25" s="1"/>
  <c r="N29"/>
  <c r="AF28"/>
  <c r="AG28" s="1"/>
  <c r="Z29"/>
  <c r="G34" i="59"/>
  <c r="AC29" i="46"/>
  <c r="AM29"/>
  <c r="BT29"/>
  <c r="AK29"/>
  <c r="T25" i="48"/>
  <c r="AA28" i="46"/>
  <c r="X26" i="47"/>
  <c r="BW29" i="46"/>
  <c r="AR29"/>
  <c r="AR28"/>
  <c r="BY28" s="1"/>
  <c r="AO30"/>
  <c r="AZ26"/>
  <c r="BA26"/>
  <c r="AD28"/>
  <c r="H33" i="59" s="1"/>
  <c r="Q28" i="46"/>
  <c r="U29"/>
  <c r="AZ27"/>
  <c r="BA27" s="1"/>
  <c r="N30"/>
  <c r="U30"/>
  <c r="BL28"/>
  <c r="BP28"/>
  <c r="Z30"/>
  <c r="G35" i="59" s="1"/>
  <c r="AK30" i="46"/>
  <c r="BT30"/>
  <c r="AC30"/>
  <c r="AM30"/>
  <c r="T26" i="48"/>
  <c r="AF29" i="46"/>
  <c r="H34" i="59" s="1"/>
  <c r="BN28" i="46"/>
  <c r="BR28"/>
  <c r="X27" i="47"/>
  <c r="BX29" i="46"/>
  <c r="AO31"/>
  <c r="BZ29"/>
  <c r="CA29"/>
  <c r="CC29" s="1"/>
  <c r="BW30"/>
  <c r="BZ30" s="1"/>
  <c r="CA30" s="1"/>
  <c r="AR30"/>
  <c r="BY30" s="1"/>
  <c r="BX30"/>
  <c r="AD29"/>
  <c r="Q29"/>
  <c r="N31"/>
  <c r="AD30"/>
  <c r="BN29"/>
  <c r="BR29"/>
  <c r="AF30"/>
  <c r="AG30" s="1"/>
  <c r="BL29"/>
  <c r="BP29"/>
  <c r="AA30"/>
  <c r="Z31"/>
  <c r="G36" i="59"/>
  <c r="AK31" i="46"/>
  <c r="AC31"/>
  <c r="AM31"/>
  <c r="BT31"/>
  <c r="T27" i="48"/>
  <c r="AX30" i="46"/>
  <c r="X28" i="47"/>
  <c r="AS30" i="46"/>
  <c r="BW31"/>
  <c r="BZ31" s="1"/>
  <c r="CA31" s="1"/>
  <c r="AR31"/>
  <c r="AV31" s="1"/>
  <c r="F28" i="47" s="1"/>
  <c r="BY31" i="46"/>
  <c r="AO32"/>
  <c r="N32"/>
  <c r="AE29"/>
  <c r="AZ29"/>
  <c r="BA29" s="1"/>
  <c r="U31"/>
  <c r="Q30"/>
  <c r="AZ28"/>
  <c r="BA28" s="1"/>
  <c r="Z32"/>
  <c r="AA32" s="1"/>
  <c r="G37" i="59"/>
  <c r="AC32" i="46"/>
  <c r="AM32"/>
  <c r="AK32"/>
  <c r="BT32"/>
  <c r="T28" i="48"/>
  <c r="BL30" i="46"/>
  <c r="BP30"/>
  <c r="BN30"/>
  <c r="BR30"/>
  <c r="X29" i="47"/>
  <c r="AS31" i="46"/>
  <c r="BW32"/>
  <c r="AR32"/>
  <c r="AS32" s="1"/>
  <c r="AO33"/>
  <c r="Q31"/>
  <c r="AD31"/>
  <c r="H36" i="59"/>
  <c r="AF31" i="46"/>
  <c r="N33"/>
  <c r="AZ30"/>
  <c r="BA30" s="1"/>
  <c r="U32"/>
  <c r="Z33"/>
  <c r="G38" i="59" s="1"/>
  <c r="AC33" i="46"/>
  <c r="AM33"/>
  <c r="BT33"/>
  <c r="AK33"/>
  <c r="T29" i="48"/>
  <c r="X30" i="47"/>
  <c r="BW33" i="46"/>
  <c r="BZ33"/>
  <c r="CA33" s="1"/>
  <c r="AR33"/>
  <c r="BZ32"/>
  <c r="CA32"/>
  <c r="AO34"/>
  <c r="AD32"/>
  <c r="Q32"/>
  <c r="AF32"/>
  <c r="AG31"/>
  <c r="BL31"/>
  <c r="BP31"/>
  <c r="U33"/>
  <c r="N34"/>
  <c r="BN31"/>
  <c r="BR31"/>
  <c r="AZ31"/>
  <c r="BA31" s="1"/>
  <c r="AF33"/>
  <c r="AG33" s="1"/>
  <c r="Z34"/>
  <c r="Q34"/>
  <c r="AK34"/>
  <c r="BT34"/>
  <c r="AC34"/>
  <c r="AM34"/>
  <c r="T30" i="48"/>
  <c r="AD33" i="46"/>
  <c r="AE33" s="1"/>
  <c r="X31" i="47"/>
  <c r="BY32" i="46"/>
  <c r="BX33"/>
  <c r="AS33"/>
  <c r="AR34"/>
  <c r="BW34"/>
  <c r="BZ34" s="1"/>
  <c r="CA34" s="1"/>
  <c r="AO35"/>
  <c r="AG32"/>
  <c r="BL32"/>
  <c r="BP32"/>
  <c r="AE32"/>
  <c r="AX32"/>
  <c r="BN32"/>
  <c r="BR32"/>
  <c r="Q33"/>
  <c r="N35"/>
  <c r="U35"/>
  <c r="U34"/>
  <c r="BL33"/>
  <c r="BP33"/>
  <c r="AD34"/>
  <c r="AX34" s="1"/>
  <c r="BN33"/>
  <c r="BR33"/>
  <c r="Z35"/>
  <c r="AA35" s="1"/>
  <c r="AF35"/>
  <c r="AG35" s="1"/>
  <c r="Q35"/>
  <c r="AK35"/>
  <c r="AC35"/>
  <c r="AM35"/>
  <c r="BT35"/>
  <c r="T31" i="48"/>
  <c r="AF34" i="46"/>
  <c r="X32" i="47"/>
  <c r="BY33" i="46"/>
  <c r="BW35"/>
  <c r="BZ35" s="1"/>
  <c r="CA35" s="1"/>
  <c r="AR35"/>
  <c r="AS35" s="1"/>
  <c r="AO36"/>
  <c r="BX34"/>
  <c r="AS34"/>
  <c r="AD35"/>
  <c r="AE35" s="1"/>
  <c r="AZ32"/>
  <c r="BA32" s="1"/>
  <c r="U36"/>
  <c r="N36"/>
  <c r="BL35"/>
  <c r="BN35"/>
  <c r="BR35"/>
  <c r="BP35"/>
  <c r="AG34"/>
  <c r="BL34"/>
  <c r="BP34"/>
  <c r="AE34"/>
  <c r="BN34"/>
  <c r="BR34"/>
  <c r="Z36"/>
  <c r="AA36" s="1"/>
  <c r="AC36"/>
  <c r="AM36"/>
  <c r="AK36"/>
  <c r="BT36"/>
  <c r="T32" i="48"/>
  <c r="X33" i="47"/>
  <c r="BY34" i="46"/>
  <c r="BX35"/>
  <c r="AO37"/>
  <c r="BW36"/>
  <c r="BZ36" s="1"/>
  <c r="AR36"/>
  <c r="N37"/>
  <c r="AZ33"/>
  <c r="BA33" s="1"/>
  <c r="AF36"/>
  <c r="Z37"/>
  <c r="G42" i="59" s="1"/>
  <c r="AC37" i="46"/>
  <c r="AM37"/>
  <c r="BT37"/>
  <c r="AK37"/>
  <c r="T33" i="48"/>
  <c r="CA36" i="46"/>
  <c r="CC36" s="1"/>
  <c r="X34" i="47"/>
  <c r="AS36" i="46"/>
  <c r="AR37"/>
  <c r="BY37" s="1"/>
  <c r="BW37"/>
  <c r="BZ37" s="1"/>
  <c r="CA37" s="1"/>
  <c r="AO38"/>
  <c r="AZ35"/>
  <c r="BA35" s="1"/>
  <c r="U37"/>
  <c r="AZ34"/>
  <c r="BA34"/>
  <c r="AD36"/>
  <c r="H41" i="59" s="1"/>
  <c r="Q36" i="46"/>
  <c r="N38"/>
  <c r="Z38"/>
  <c r="AA38" s="1"/>
  <c r="AD38"/>
  <c r="Q38"/>
  <c r="AK38"/>
  <c r="BT38"/>
  <c r="AC38"/>
  <c r="AM38"/>
  <c r="T34" i="48"/>
  <c r="AG36" i="46"/>
  <c r="BL36"/>
  <c r="BP36"/>
  <c r="BN36"/>
  <c r="BR36"/>
  <c r="X35" i="47"/>
  <c r="BW38" i="46"/>
  <c r="BZ38"/>
  <c r="CA38"/>
  <c r="CB38" s="1"/>
  <c r="AO39"/>
  <c r="AS37"/>
  <c r="N39"/>
  <c r="U38"/>
  <c r="AF37"/>
  <c r="AG37" s="1"/>
  <c r="AD37"/>
  <c r="AE37" s="1"/>
  <c r="Q37"/>
  <c r="AE38"/>
  <c r="AF38"/>
  <c r="Z39"/>
  <c r="AA39" s="1"/>
  <c r="G44" i="59"/>
  <c r="AK39" i="46"/>
  <c r="AC39"/>
  <c r="AM39"/>
  <c r="BT39"/>
  <c r="T35" i="48"/>
  <c r="X36" i="47"/>
  <c r="AR38" i="46"/>
  <c r="J43" i="59" s="1"/>
  <c r="BX38" i="46"/>
  <c r="AO40"/>
  <c r="BW39"/>
  <c r="BZ39" s="1"/>
  <c r="AR39"/>
  <c r="J44" i="59" s="1"/>
  <c r="AS38" i="46"/>
  <c r="BL37"/>
  <c r="BP37"/>
  <c r="AZ36"/>
  <c r="BA36" s="1"/>
  <c r="U39"/>
  <c r="BN37"/>
  <c r="BR37"/>
  <c r="U40"/>
  <c r="N40"/>
  <c r="AG38"/>
  <c r="BL38"/>
  <c r="BP38"/>
  <c r="Z40"/>
  <c r="AA40" s="1"/>
  <c r="AC40"/>
  <c r="AM40"/>
  <c r="AK40"/>
  <c r="BT40"/>
  <c r="T36" i="48"/>
  <c r="BN38" i="46"/>
  <c r="BR38"/>
  <c r="X37" i="47"/>
  <c r="BY38" i="46"/>
  <c r="BX39"/>
  <c r="BW40"/>
  <c r="BZ40"/>
  <c r="CA40" s="1"/>
  <c r="CC40" s="1"/>
  <c r="AR40"/>
  <c r="AO41"/>
  <c r="CA39"/>
  <c r="CB39" s="1"/>
  <c r="AZ37"/>
  <c r="BA37" s="1"/>
  <c r="AZ38"/>
  <c r="BA38" s="1"/>
  <c r="AD39"/>
  <c r="AF39"/>
  <c r="Q39"/>
  <c r="N41"/>
  <c r="Q41"/>
  <c r="U41"/>
  <c r="Z41"/>
  <c r="AX41" s="1"/>
  <c r="G46" i="59"/>
  <c r="AC41" i="46"/>
  <c r="AM41"/>
  <c r="BT41"/>
  <c r="AK41"/>
  <c r="T37" i="48"/>
  <c r="X38" i="47"/>
  <c r="BY40" i="46"/>
  <c r="BX40"/>
  <c r="AO42"/>
  <c r="BW41"/>
  <c r="BZ41" s="1"/>
  <c r="CA41" s="1"/>
  <c r="AR41"/>
  <c r="BY41" s="1"/>
  <c r="AD41"/>
  <c r="AE41" s="1"/>
  <c r="AF40"/>
  <c r="AD40"/>
  <c r="H45" i="59" s="1"/>
  <c r="Q40" i="46"/>
  <c r="N42"/>
  <c r="AE39"/>
  <c r="AX39"/>
  <c r="BN39"/>
  <c r="BR39"/>
  <c r="AZ39"/>
  <c r="BA39" s="1"/>
  <c r="AG39"/>
  <c r="BL39"/>
  <c r="BP39"/>
  <c r="Z42"/>
  <c r="AA42" s="1"/>
  <c r="AD42"/>
  <c r="Q42"/>
  <c r="AK42"/>
  <c r="BT42"/>
  <c r="AC42"/>
  <c r="AM42"/>
  <c r="T38" i="48"/>
  <c r="AF41" i="46"/>
  <c r="BN41"/>
  <c r="BR41"/>
  <c r="AA41"/>
  <c r="X39" i="47"/>
  <c r="BX41" i="46"/>
  <c r="AO43"/>
  <c r="BW42"/>
  <c r="BZ42" s="1"/>
  <c r="CA42" s="1"/>
  <c r="AR42"/>
  <c r="AV42" s="1"/>
  <c r="AG40"/>
  <c r="BL40"/>
  <c r="BP40"/>
  <c r="N43"/>
  <c r="BN40"/>
  <c r="BR40"/>
  <c r="AZ40"/>
  <c r="BA40" s="1"/>
  <c r="U42"/>
  <c r="AE42"/>
  <c r="AF42"/>
  <c r="AG42"/>
  <c r="AG41"/>
  <c r="BL41"/>
  <c r="BP41"/>
  <c r="Z43"/>
  <c r="AK43"/>
  <c r="AC43"/>
  <c r="AM43"/>
  <c r="BT43"/>
  <c r="T39" i="48"/>
  <c r="X40" i="47"/>
  <c r="BW43" i="46"/>
  <c r="BZ43" s="1"/>
  <c r="CA43" s="1"/>
  <c r="AR43"/>
  <c r="AV43" s="1"/>
  <c r="F40" i="47" s="1"/>
  <c r="BY43" i="46"/>
  <c r="AS42"/>
  <c r="AO44"/>
  <c r="N44"/>
  <c r="U43"/>
  <c r="Z44"/>
  <c r="AA44" s="1"/>
  <c r="AK44"/>
  <c r="BT44"/>
  <c r="AC44"/>
  <c r="AM44"/>
  <c r="T40" i="48"/>
  <c r="BL42" i="46"/>
  <c r="BP42"/>
  <c r="BN42"/>
  <c r="BR42"/>
  <c r="X41" i="47"/>
  <c r="BX43" i="46"/>
  <c r="AS43"/>
  <c r="AO45"/>
  <c r="BW44"/>
  <c r="BZ44"/>
  <c r="CA44" s="1"/>
  <c r="AZ41"/>
  <c r="BA41" s="1"/>
  <c r="N45"/>
  <c r="AZ42"/>
  <c r="BA42" s="1"/>
  <c r="Q43"/>
  <c r="AD43"/>
  <c r="AE43" s="1"/>
  <c r="AF43"/>
  <c r="U44"/>
  <c r="Z45"/>
  <c r="G50" i="59"/>
  <c r="AF45" i="46"/>
  <c r="AG45" s="1"/>
  <c r="Q45"/>
  <c r="AK45"/>
  <c r="BT45"/>
  <c r="AC45"/>
  <c r="AM45"/>
  <c r="T41" i="48"/>
  <c r="X42" i="47"/>
  <c r="AO46" i="46"/>
  <c r="AR44"/>
  <c r="BW45"/>
  <c r="BZ45"/>
  <c r="CA45"/>
  <c r="CB45" s="1"/>
  <c r="CC45"/>
  <c r="BN43"/>
  <c r="BR43"/>
  <c r="BL43"/>
  <c r="BP43"/>
  <c r="AF44"/>
  <c r="Q44"/>
  <c r="AD44"/>
  <c r="AE44" s="1"/>
  <c r="N46"/>
  <c r="U45"/>
  <c r="AZ43"/>
  <c r="BA43" s="1"/>
  <c r="Z46"/>
  <c r="AA46" s="1"/>
  <c r="AK46"/>
  <c r="BT46"/>
  <c r="AC46"/>
  <c r="AM46"/>
  <c r="T42" i="48"/>
  <c r="AD45" i="46"/>
  <c r="H50" i="59"/>
  <c r="BL45" i="46"/>
  <c r="BP45"/>
  <c r="X43" i="47"/>
  <c r="AR45" i="46"/>
  <c r="BY45" s="1"/>
  <c r="BX44"/>
  <c r="BY44"/>
  <c r="BW46"/>
  <c r="BZ46" s="1"/>
  <c r="CA46" s="1"/>
  <c r="AO47"/>
  <c r="BN44"/>
  <c r="BR44"/>
  <c r="AG44"/>
  <c r="BL44"/>
  <c r="BP44"/>
  <c r="N47"/>
  <c r="U46"/>
  <c r="AD46"/>
  <c r="AE45"/>
  <c r="BN45"/>
  <c r="BR45"/>
  <c r="Z47"/>
  <c r="AA47" s="1"/>
  <c r="AK47"/>
  <c r="AC47"/>
  <c r="AM47"/>
  <c r="BT47"/>
  <c r="T43" i="48"/>
  <c r="AX45" i="46"/>
  <c r="X44" i="47"/>
  <c r="BW47" i="46"/>
  <c r="BZ47" s="1"/>
  <c r="CA47" s="1"/>
  <c r="AO48"/>
  <c r="AR46"/>
  <c r="AS46"/>
  <c r="N48"/>
  <c r="AZ44"/>
  <c r="BA44" s="1"/>
  <c r="AF46"/>
  <c r="AG46" s="1"/>
  <c r="Q46"/>
  <c r="U47"/>
  <c r="AE46"/>
  <c r="BN46"/>
  <c r="BR46"/>
  <c r="Z48"/>
  <c r="G53" i="59"/>
  <c r="AC48" i="46"/>
  <c r="AM48"/>
  <c r="AK48"/>
  <c r="BT48"/>
  <c r="T44" i="48"/>
  <c r="AD47" i="46"/>
  <c r="BL46"/>
  <c r="BP46"/>
  <c r="X45" i="47"/>
  <c r="AR47" i="46"/>
  <c r="AV47" s="1"/>
  <c r="BW48"/>
  <c r="BZ48"/>
  <c r="CA48" s="1"/>
  <c r="AO49"/>
  <c r="BX47"/>
  <c r="AS47"/>
  <c r="AZ45"/>
  <c r="BA45"/>
  <c r="Q47"/>
  <c r="AF47"/>
  <c r="AG47" s="1"/>
  <c r="N49"/>
  <c r="U49"/>
  <c r="AF48"/>
  <c r="AG48" s="1"/>
  <c r="U48"/>
  <c r="BL47"/>
  <c r="BP47"/>
  <c r="AD48"/>
  <c r="AE48" s="1"/>
  <c r="Z49"/>
  <c r="G54" i="59"/>
  <c r="AF49" i="46"/>
  <c r="H54" i="59" s="1"/>
  <c r="AG49" i="46"/>
  <c r="Q49"/>
  <c r="AK49"/>
  <c r="AC49"/>
  <c r="AM49"/>
  <c r="BT49"/>
  <c r="T45" i="48"/>
  <c r="AA48" i="46"/>
  <c r="X46" i="47"/>
  <c r="BW49" i="46"/>
  <c r="AR49"/>
  <c r="AR48"/>
  <c r="J53" i="59" s="1"/>
  <c r="AO50" i="46"/>
  <c r="BN47"/>
  <c r="BR47"/>
  <c r="AZ46"/>
  <c r="BA46" s="1"/>
  <c r="N50"/>
  <c r="U50"/>
  <c r="BL48"/>
  <c r="BP48"/>
  <c r="Q48"/>
  <c r="AA49"/>
  <c r="Z50"/>
  <c r="G55" i="59" s="1"/>
  <c r="AF50" i="46"/>
  <c r="AG50"/>
  <c r="AC50"/>
  <c r="AM50"/>
  <c r="BT50"/>
  <c r="Q50"/>
  <c r="AK50"/>
  <c r="T46" i="48"/>
  <c r="BN48" i="46"/>
  <c r="BR48"/>
  <c r="AD49"/>
  <c r="X47" i="47"/>
  <c r="BZ49" i="46"/>
  <c r="CA49" s="1"/>
  <c r="BW50"/>
  <c r="BZ50"/>
  <c r="CA50" s="1"/>
  <c r="AO51"/>
  <c r="BX48"/>
  <c r="N51"/>
  <c r="AZ47"/>
  <c r="BA47" s="1"/>
  <c r="BN49"/>
  <c r="BR49"/>
  <c r="BL49"/>
  <c r="BP49"/>
  <c r="AD50"/>
  <c r="AE50" s="1"/>
  <c r="BL50"/>
  <c r="BP50"/>
  <c r="Z51"/>
  <c r="G56" i="59"/>
  <c r="AK51" i="46"/>
  <c r="BT51"/>
  <c r="AC51"/>
  <c r="AM51"/>
  <c r="T47" i="48"/>
  <c r="X48" i="47"/>
  <c r="BY49" i="46"/>
  <c r="BW51"/>
  <c r="AR51"/>
  <c r="BY51" s="1"/>
  <c r="AO52"/>
  <c r="AR50"/>
  <c r="BY50" s="1"/>
  <c r="N52"/>
  <c r="U51"/>
  <c r="AF51"/>
  <c r="BN50"/>
  <c r="BR50"/>
  <c r="AA51"/>
  <c r="Z52"/>
  <c r="AA52" s="1"/>
  <c r="G57" i="59"/>
  <c r="AK52" i="46"/>
  <c r="BT52"/>
  <c r="AC52"/>
  <c r="AM52"/>
  <c r="T48" i="48"/>
  <c r="AD51" i="46"/>
  <c r="H56" i="59"/>
  <c r="X49" i="47"/>
  <c r="BZ51" i="46"/>
  <c r="CA51" s="1"/>
  <c r="CB51" s="1"/>
  <c r="BW52"/>
  <c r="BZ52" s="1"/>
  <c r="CA52"/>
  <c r="CC52" s="1"/>
  <c r="AZ48"/>
  <c r="BA48"/>
  <c r="AO53"/>
  <c r="AZ49"/>
  <c r="BA49" s="1"/>
  <c r="Q51"/>
  <c r="U52"/>
  <c r="N53"/>
  <c r="U53"/>
  <c r="Z53"/>
  <c r="G58" i="59"/>
  <c r="AC53" i="46"/>
  <c r="AM53"/>
  <c r="BT53"/>
  <c r="AK53"/>
  <c r="T49" i="48"/>
  <c r="AG51" i="46"/>
  <c r="BL51"/>
  <c r="BP51"/>
  <c r="BN51"/>
  <c r="BR51"/>
  <c r="AF52"/>
  <c r="AG52"/>
  <c r="X51" i="47"/>
  <c r="X50"/>
  <c r="CB52" i="46"/>
  <c r="AO54"/>
  <c r="AR52"/>
  <c r="AV52" s="1"/>
  <c r="AB49" i="47" s="1"/>
  <c r="BW53" i="46"/>
  <c r="BZ53"/>
  <c r="CA53" s="1"/>
  <c r="CB53" s="1"/>
  <c r="AF53"/>
  <c r="H58" i="59" s="1"/>
  <c r="N54" i="46"/>
  <c r="U54"/>
  <c r="Q53"/>
  <c r="AZ50"/>
  <c r="BA50"/>
  <c r="AD52"/>
  <c r="H57" i="59"/>
  <c r="Q52" i="46"/>
  <c r="BN52"/>
  <c r="BR52"/>
  <c r="BL52"/>
  <c r="BP52"/>
  <c r="AA53"/>
  <c r="Z54"/>
  <c r="AA54" s="1"/>
  <c r="AC54"/>
  <c r="AM54"/>
  <c r="AK54"/>
  <c r="BT54"/>
  <c r="T50" i="48"/>
  <c r="B61" i="59"/>
  <c r="D56" i="46"/>
  <c r="C15" i="58" s="1"/>
  <c r="AD53" i="46"/>
  <c r="BL53"/>
  <c r="BP53"/>
  <c r="BW54"/>
  <c r="BZ54" s="1"/>
  <c r="CA54"/>
  <c r="CB54" s="1"/>
  <c r="AR54"/>
  <c r="AV54" s="1"/>
  <c r="F51" i="47" s="1"/>
  <c r="AR53" i="46"/>
  <c r="BX52"/>
  <c r="BY52"/>
  <c r="AS52"/>
  <c r="AZ51"/>
  <c r="BA51"/>
  <c r="AX52"/>
  <c r="BN53"/>
  <c r="BR53"/>
  <c r="AX53"/>
  <c r="BX53"/>
  <c r="AS53"/>
  <c r="Q54"/>
  <c r="AD54"/>
  <c r="AF54"/>
  <c r="AG54"/>
  <c r="BN54"/>
  <c r="BR54"/>
  <c r="AZ52"/>
  <c r="BA52" s="1"/>
  <c r="AZ53"/>
  <c r="BA53" s="1"/>
  <c r="BL54"/>
  <c r="BP54"/>
  <c r="AE54"/>
  <c r="AZ54"/>
  <c r="BA54" s="1"/>
  <c r="CC54"/>
  <c r="CC53"/>
  <c r="AE53"/>
  <c r="AV50"/>
  <c r="F47" i="47" s="1"/>
  <c r="BX50" i="46"/>
  <c r="H55" i="59"/>
  <c r="J52"/>
  <c r="BY47" i="46"/>
  <c r="H51" i="59"/>
  <c r="BX45" i="46"/>
  <c r="AG43"/>
  <c r="J54" i="59"/>
  <c r="AV49" i="46"/>
  <c r="F46" i="47" s="1"/>
  <c r="H49" i="59"/>
  <c r="G45"/>
  <c r="AX37" i="46"/>
  <c r="AA37"/>
  <c r="N23" i="37"/>
  <c r="AV52" i="47"/>
  <c r="AX48" i="46"/>
  <c r="AY48" s="1"/>
  <c r="BB48" s="1"/>
  <c r="BD48" s="1"/>
  <c r="BF48" s="1"/>
  <c r="BX46"/>
  <c r="AA45"/>
  <c r="CB36"/>
  <c r="H59" i="59"/>
  <c r="AE52" i="46"/>
  <c r="J56" i="59"/>
  <c r="AV51" i="46"/>
  <c r="F48" i="47" s="1"/>
  <c r="AS51" i="46"/>
  <c r="AV46"/>
  <c r="AB43" i="47" s="1"/>
  <c r="BX43" s="1"/>
  <c r="J51" i="59"/>
  <c r="BY46" i="46"/>
  <c r="CB40"/>
  <c r="CC38"/>
  <c r="CB32"/>
  <c r="CC32"/>
  <c r="CB24"/>
  <c r="CB20"/>
  <c r="N233" i="52"/>
  <c r="N203"/>
  <c r="N83"/>
  <c r="N53"/>
  <c r="BX54" i="46"/>
  <c r="G49" i="59"/>
  <c r="H46"/>
  <c r="CC23" i="46"/>
  <c r="CB23"/>
  <c r="N173" i="52"/>
  <c r="N143"/>
  <c r="N23"/>
  <c r="BL52" i="47"/>
  <c r="AX54" i="46"/>
  <c r="AY54" s="1"/>
  <c r="J58" i="59"/>
  <c r="AV53" i="46"/>
  <c r="AB50" i="47" s="1"/>
  <c r="AJ50" s="1"/>
  <c r="AP50" s="1"/>
  <c r="BY53" i="46"/>
  <c r="AE47"/>
  <c r="G52" i="59"/>
  <c r="AX47" i="46"/>
  <c r="AY47" s="1"/>
  <c r="N113" i="52"/>
  <c r="AJ56" i="46"/>
  <c r="L15" i="58" s="1"/>
  <c r="AV39" i="46"/>
  <c r="AB36" i="47" s="1"/>
  <c r="BP36" s="1"/>
  <c r="BV36" s="1"/>
  <c r="J41" i="59"/>
  <c r="AV36" i="46"/>
  <c r="F33" i="47" s="1"/>
  <c r="J32" i="59"/>
  <c r="AV27" i="46"/>
  <c r="F24" i="47" s="1"/>
  <c r="J57" i="59"/>
  <c r="AV48" i="46"/>
  <c r="AB45" i="47" s="1"/>
  <c r="BX45" s="1"/>
  <c r="AV44" i="46"/>
  <c r="AB41" i="47" s="1"/>
  <c r="AV41" i="46"/>
  <c r="AB38" i="47" s="1"/>
  <c r="AZ38" s="1"/>
  <c r="J45" i="59"/>
  <c r="J40"/>
  <c r="AV34" i="46"/>
  <c r="AB31" i="47" s="1"/>
  <c r="BX31" s="1"/>
  <c r="J39" i="59"/>
  <c r="J38"/>
  <c r="AV33" i="46"/>
  <c r="AV13"/>
  <c r="F10" i="47" s="1"/>
  <c r="G17" i="59"/>
  <c r="AA12" i="46"/>
  <c r="H47" i="59"/>
  <c r="AX51" i="46"/>
  <c r="AY51" s="1"/>
  <c r="AE51"/>
  <c r="H48" i="59"/>
  <c r="BY39" i="46"/>
  <c r="BX36"/>
  <c r="H39" i="59"/>
  <c r="AE31" i="46"/>
  <c r="H37" i="59"/>
  <c r="AX29" i="46"/>
  <c r="BY27"/>
  <c r="AE27"/>
  <c r="H31" i="59"/>
  <c r="AX24" i="46"/>
  <c r="AX21"/>
  <c r="AX19"/>
  <c r="AA18"/>
  <c r="H24" i="59"/>
  <c r="H22"/>
  <c r="L22" s="1"/>
  <c r="Q17" i="51"/>
  <c r="Q18" s="1"/>
  <c r="Q19" s="1"/>
  <c r="Q20" s="1"/>
  <c r="AX14" i="46"/>
  <c r="BN12"/>
  <c r="BR12"/>
  <c r="L23" i="37"/>
  <c r="R46"/>
  <c r="R57"/>
  <c r="R174"/>
  <c r="R185" s="1"/>
  <c r="J34" i="59"/>
  <c r="AV29" i="46"/>
  <c r="AB26" i="47" s="1"/>
  <c r="BP26" s="1"/>
  <c r="BV26" s="1"/>
  <c r="AV25" i="46"/>
  <c r="F22" i="47" s="1"/>
  <c r="AV22" i="46"/>
  <c r="AB19" i="47" s="1"/>
  <c r="J27" i="59"/>
  <c r="J25"/>
  <c r="AV20" i="46"/>
  <c r="F17" i="47" s="1"/>
  <c r="J24" i="59"/>
  <c r="AV19" i="46"/>
  <c r="F16" i="47" s="1"/>
  <c r="J23" i="59"/>
  <c r="J22"/>
  <c r="AV17" i="46"/>
  <c r="H35" i="59"/>
  <c r="H28"/>
  <c r="J48"/>
  <c r="AV38" i="46"/>
  <c r="F35" i="47" s="1"/>
  <c r="J37" i="59"/>
  <c r="AV32" i="46"/>
  <c r="AB29" i="47" s="1"/>
  <c r="AV30" i="46"/>
  <c r="J35" i="59"/>
  <c r="AV26" i="46"/>
  <c r="AB23" i="47" s="1"/>
  <c r="AY26" i="46"/>
  <c r="J29" i="59"/>
  <c r="J28"/>
  <c r="J20"/>
  <c r="AV15" i="46"/>
  <c r="AB12" i="47" s="1"/>
  <c r="AV11" i="46"/>
  <c r="AB8" i="47" s="1"/>
  <c r="AR8" s="1"/>
  <c r="N11"/>
  <c r="T11"/>
  <c r="G18" i="59"/>
  <c r="AA13" i="46"/>
  <c r="H44" i="59"/>
  <c r="AS39" i="46"/>
  <c r="BY36"/>
  <c r="H43" i="59"/>
  <c r="H40"/>
  <c r="H38"/>
  <c r="AE30" i="46"/>
  <c r="BY29"/>
  <c r="AA29"/>
  <c r="AS27"/>
  <c r="AE25"/>
  <c r="AS25"/>
  <c r="AX20"/>
  <c r="AS20"/>
  <c r="BY19"/>
  <c r="AA19"/>
  <c r="BY17"/>
  <c r="H20" i="59"/>
  <c r="AE14" i="46"/>
  <c r="BX12"/>
  <c r="H17" i="59"/>
  <c r="BY53" i="47"/>
  <c r="AK52" s="1"/>
  <c r="J26" i="59"/>
  <c r="J21"/>
  <c r="AV16" i="46"/>
  <c r="F13" i="47" s="1"/>
  <c r="F17" i="59"/>
  <c r="D9" i="47"/>
  <c r="AS29" i="46"/>
  <c r="H23" i="59"/>
  <c r="N8" i="47"/>
  <c r="T8"/>
  <c r="T52" s="1"/>
  <c r="F58" i="59"/>
  <c r="D50" i="47"/>
  <c r="F56" i="59"/>
  <c r="D48" i="47"/>
  <c r="F54" i="59"/>
  <c r="L54" s="1"/>
  <c r="D46" i="47"/>
  <c r="F52" i="59"/>
  <c r="D44" i="47"/>
  <c r="F50" i="59"/>
  <c r="D42" i="47"/>
  <c r="F48" i="59"/>
  <c r="D40" i="47"/>
  <c r="F46" i="59"/>
  <c r="D38" i="47"/>
  <c r="F44" i="59"/>
  <c r="D36" i="47"/>
  <c r="F42" i="59"/>
  <c r="D34" i="47"/>
  <c r="F40" i="59"/>
  <c r="D32" i="47"/>
  <c r="Q32" s="1"/>
  <c r="F38" i="59"/>
  <c r="D30" i="47"/>
  <c r="F36" i="59"/>
  <c r="D28" i="47"/>
  <c r="F34" i="59"/>
  <c r="D26" i="47"/>
  <c r="Q26" s="1"/>
  <c r="F32" i="59"/>
  <c r="D24" i="47"/>
  <c r="F30" i="59"/>
  <c r="D22" i="47"/>
  <c r="F28" i="59"/>
  <c r="L28" s="1"/>
  <c r="D20" i="47"/>
  <c r="F26" i="59"/>
  <c r="D18" i="47"/>
  <c r="F24" i="59"/>
  <c r="L24" s="1"/>
  <c r="D16" i="47"/>
  <c r="F22" i="59"/>
  <c r="D14" i="47"/>
  <c r="F20" i="59"/>
  <c r="D12" i="47"/>
  <c r="G88" i="59"/>
  <c r="F16"/>
  <c r="D8" i="47"/>
  <c r="Q8" s="1"/>
  <c r="P8" s="1"/>
  <c r="P52" s="1"/>
  <c r="T50"/>
  <c r="N50"/>
  <c r="N48"/>
  <c r="T48"/>
  <c r="Z48" s="1"/>
  <c r="T46"/>
  <c r="N46"/>
  <c r="N44"/>
  <c r="T42"/>
  <c r="N42"/>
  <c r="N40"/>
  <c r="T40"/>
  <c r="T38"/>
  <c r="N38"/>
  <c r="N36"/>
  <c r="T34"/>
  <c r="N34"/>
  <c r="N32"/>
  <c r="T32"/>
  <c r="T30"/>
  <c r="N30"/>
  <c r="N28"/>
  <c r="Q28" s="1"/>
  <c r="T26"/>
  <c r="N26"/>
  <c r="N24"/>
  <c r="Q24" s="1"/>
  <c r="T24"/>
  <c r="T22"/>
  <c r="N22"/>
  <c r="N20"/>
  <c r="T18"/>
  <c r="N18"/>
  <c r="N16"/>
  <c r="T16"/>
  <c r="T14"/>
  <c r="N14"/>
  <c r="N12"/>
  <c r="F31" i="56"/>
  <c r="F43"/>
  <c r="G95" i="59" s="1"/>
  <c r="G96" s="1"/>
  <c r="T10" i="47"/>
  <c r="Z10" s="1"/>
  <c r="N10"/>
  <c r="F59" i="59"/>
  <c r="D51" i="47"/>
  <c r="Q51" s="1"/>
  <c r="P51" s="1"/>
  <c r="R51" s="1"/>
  <c r="F57" i="59"/>
  <c r="D49" i="47"/>
  <c r="F55" i="59"/>
  <c r="D47" i="47"/>
  <c r="F53" i="59"/>
  <c r="D45" i="47"/>
  <c r="F51" i="59"/>
  <c r="D43" i="47"/>
  <c r="Q43" s="1"/>
  <c r="F49" i="59"/>
  <c r="D41" i="47"/>
  <c r="Q41" s="1"/>
  <c r="P41" s="1"/>
  <c r="F47" i="59"/>
  <c r="D39" i="47"/>
  <c r="F45" i="59"/>
  <c r="D37" i="47"/>
  <c r="Q37" s="1"/>
  <c r="P37" s="1"/>
  <c r="F43" i="59"/>
  <c r="D35" i="47"/>
  <c r="F41" i="59"/>
  <c r="D33" i="47"/>
  <c r="Q33" s="1"/>
  <c r="P33" s="1"/>
  <c r="R33" s="1"/>
  <c r="F39" i="59"/>
  <c r="D31" i="47"/>
  <c r="F37" i="59"/>
  <c r="L37" s="1"/>
  <c r="D29" i="47"/>
  <c r="Q29" s="1"/>
  <c r="P29" s="1"/>
  <c r="F35" i="59"/>
  <c r="D27" i="47"/>
  <c r="F33" i="59"/>
  <c r="D25" i="47"/>
  <c r="F31" i="59"/>
  <c r="D23" i="47"/>
  <c r="F29" i="59"/>
  <c r="D21" i="47"/>
  <c r="F27" i="59"/>
  <c r="L27" s="1"/>
  <c r="D19" i="47"/>
  <c r="F25" i="59"/>
  <c r="D17" i="47"/>
  <c r="F23" i="59"/>
  <c r="D15" i="47"/>
  <c r="F21" i="59"/>
  <c r="L21" s="1"/>
  <c r="D13" i="47"/>
  <c r="D10"/>
  <c r="G93" i="59"/>
  <c r="T9" i="47"/>
  <c r="N9"/>
  <c r="N51"/>
  <c r="T51"/>
  <c r="T49"/>
  <c r="N49"/>
  <c r="N47"/>
  <c r="T47"/>
  <c r="T45"/>
  <c r="N45"/>
  <c r="N43"/>
  <c r="P43" s="1"/>
  <c r="T43"/>
  <c r="T41"/>
  <c r="N41"/>
  <c r="N39"/>
  <c r="T39"/>
  <c r="T37"/>
  <c r="N37"/>
  <c r="N35"/>
  <c r="Q35" s="1"/>
  <c r="T35"/>
  <c r="T33"/>
  <c r="Z33" s="1"/>
  <c r="N33"/>
  <c r="N31"/>
  <c r="T31"/>
  <c r="Z31" s="1"/>
  <c r="T29"/>
  <c r="N29"/>
  <c r="N27"/>
  <c r="Q27" s="1"/>
  <c r="P27" s="1"/>
  <c r="T27"/>
  <c r="T25"/>
  <c r="N25"/>
  <c r="Q25" s="1"/>
  <c r="P25" s="1"/>
  <c r="N23"/>
  <c r="T23"/>
  <c r="T21"/>
  <c r="N21"/>
  <c r="N19"/>
  <c r="T19"/>
  <c r="T17"/>
  <c r="N17"/>
  <c r="N15"/>
  <c r="T15"/>
  <c r="T13"/>
  <c r="Z13" s="1"/>
  <c r="N13"/>
  <c r="F19" i="59"/>
  <c r="D11" i="47"/>
  <c r="Q11" s="1"/>
  <c r="P11" s="1"/>
  <c r="L57" i="59"/>
  <c r="L25"/>
  <c r="G131"/>
  <c r="G132"/>
  <c r="O8" i="60" s="1"/>
  <c r="O33" s="1"/>
  <c r="AB40" i="47"/>
  <c r="BH40" s="1"/>
  <c r="BN40" s="1"/>
  <c r="Z47"/>
  <c r="AB47"/>
  <c r="BH47" s="1"/>
  <c r="Q10"/>
  <c r="P10" s="1"/>
  <c r="R10" s="1"/>
  <c r="F45" i="56"/>
  <c r="F47"/>
  <c r="F21" i="58" s="1"/>
  <c r="AB35" i="47"/>
  <c r="AZ35" s="1"/>
  <c r="BF35" s="1"/>
  <c r="F19"/>
  <c r="AB30"/>
  <c r="AJ30" s="1"/>
  <c r="AP30" s="1"/>
  <c r="F30"/>
  <c r="F45"/>
  <c r="Z45" s="1"/>
  <c r="F36"/>
  <c r="Z36" s="1"/>
  <c r="AB51"/>
  <c r="AZ51" s="1"/>
  <c r="BF51" s="1"/>
  <c r="F43"/>
  <c r="N52"/>
  <c r="F12"/>
  <c r="AB28"/>
  <c r="BX28" s="1"/>
  <c r="Z28"/>
  <c r="AB14"/>
  <c r="AJ14" s="1"/>
  <c r="AP14" s="1"/>
  <c r="F14"/>
  <c r="AB16"/>
  <c r="BX16" s="1"/>
  <c r="F26"/>
  <c r="F31"/>
  <c r="AY15" i="46"/>
  <c r="AY32"/>
  <c r="O10" i="60"/>
  <c r="O35" s="1"/>
  <c r="F8" i="47"/>
  <c r="R8" s="1"/>
  <c r="F23"/>
  <c r="Z23" s="1"/>
  <c r="F38"/>
  <c r="Z38" s="1"/>
  <c r="F49"/>
  <c r="AB33"/>
  <c r="AB46"/>
  <c r="AZ46" s="1"/>
  <c r="BF46" s="1"/>
  <c r="Z46"/>
  <c r="AB44"/>
  <c r="BH44" s="1"/>
  <c r="F44"/>
  <c r="Q21"/>
  <c r="P21" s="1"/>
  <c r="Q16"/>
  <c r="P16" s="1"/>
  <c r="P24"/>
  <c r="R24" s="1"/>
  <c r="Q44"/>
  <c r="Q9"/>
  <c r="P9" s="1"/>
  <c r="BX26"/>
  <c r="AR26"/>
  <c r="AX26" s="1"/>
  <c r="AH26"/>
  <c r="AZ14"/>
  <c r="BF14" s="1"/>
  <c r="BP14"/>
  <c r="BV14" s="1"/>
  <c r="BH12"/>
  <c r="BN12" s="1"/>
  <c r="BX36"/>
  <c r="AZ36"/>
  <c r="BF36" s="1"/>
  <c r="AJ36"/>
  <c r="AP36" s="1"/>
  <c r="AR36"/>
  <c r="AX36" s="1"/>
  <c r="AH36"/>
  <c r="BP35"/>
  <c r="BV35" s="1"/>
  <c r="AZ33"/>
  <c r="BF33" s="1"/>
  <c r="AJ41"/>
  <c r="AP41" s="1"/>
  <c r="BX8"/>
  <c r="BH8"/>
  <c r="BN8" s="1"/>
  <c r="AJ8"/>
  <c r="AP8" s="1"/>
  <c r="AZ8"/>
  <c r="BF8" s="1"/>
  <c r="BP8"/>
  <c r="BV8" s="1"/>
  <c r="AH8"/>
  <c r="AZ31"/>
  <c r="BF31" s="1"/>
  <c r="BH31"/>
  <c r="BN31" s="1"/>
  <c r="AJ31"/>
  <c r="AP31" s="1"/>
  <c r="BP31"/>
  <c r="BV31"/>
  <c r="AH31"/>
  <c r="AZ43"/>
  <c r="BF43"/>
  <c r="BH43"/>
  <c r="BN43" s="1"/>
  <c r="AJ43"/>
  <c r="AP43" s="1"/>
  <c r="AR43"/>
  <c r="AX43" s="1"/>
  <c r="BP43"/>
  <c r="BV43" s="1"/>
  <c r="AH43"/>
  <c r="BH45"/>
  <c r="BN45"/>
  <c r="AZ45"/>
  <c r="BF45" s="1"/>
  <c r="AJ45"/>
  <c r="AP45"/>
  <c r="AR45"/>
  <c r="AX45" s="1"/>
  <c r="BP45"/>
  <c r="BV45" s="1"/>
  <c r="AH45"/>
  <c r="BX29"/>
  <c r="BH29"/>
  <c r="BN29" s="1"/>
  <c r="AZ29"/>
  <c r="BF29"/>
  <c r="AJ29"/>
  <c r="AP29" s="1"/>
  <c r="AR29"/>
  <c r="AX29"/>
  <c r="BP29"/>
  <c r="BV29" s="1"/>
  <c r="AH29"/>
  <c r="BB54" i="46"/>
  <c r="BD54" s="1"/>
  <c r="BF54" s="1"/>
  <c r="BX44" i="47"/>
  <c r="BN44"/>
  <c r="AJ44"/>
  <c r="AP44" s="1"/>
  <c r="BP44"/>
  <c r="BV44" s="1"/>
  <c r="BH50"/>
  <c r="BN50" s="1"/>
  <c r="AR50"/>
  <c r="AX50" s="1"/>
  <c r="BP50"/>
  <c r="BV50" s="1"/>
  <c r="BH38"/>
  <c r="BN38" s="1"/>
  <c r="BF38"/>
  <c r="AJ38"/>
  <c r="AP38" s="1"/>
  <c r="Z8"/>
  <c r="BH16"/>
  <c r="BN16" s="1"/>
  <c r="AZ16"/>
  <c r="BF16" s="1"/>
  <c r="BH28"/>
  <c r="BN28" s="1"/>
  <c r="BP28"/>
  <c r="BV28" s="1"/>
  <c r="BH30"/>
  <c r="BN30" s="1"/>
  <c r="BP30"/>
  <c r="BV30" s="1"/>
  <c r="BX19"/>
  <c r="AZ19"/>
  <c r="BF19" s="1"/>
  <c r="BH19"/>
  <c r="BN19" s="1"/>
  <c r="AJ19"/>
  <c r="AP19" s="1"/>
  <c r="AR19"/>
  <c r="AX19" s="1"/>
  <c r="BP19"/>
  <c r="BV19" s="1"/>
  <c r="AH19"/>
  <c r="AR40"/>
  <c r="AX40" s="1"/>
  <c r="AJ46"/>
  <c r="AP46" s="1"/>
  <c r="BP46"/>
  <c r="BV46" s="1"/>
  <c r="BX49"/>
  <c r="AZ49"/>
  <c r="BF49"/>
  <c r="BH49"/>
  <c r="BN49" s="1"/>
  <c r="AJ49"/>
  <c r="AP49" s="1"/>
  <c r="AR49"/>
  <c r="AX49" s="1"/>
  <c r="BP49"/>
  <c r="BV49" s="1"/>
  <c r="AH49"/>
  <c r="BX51"/>
  <c r="AH51"/>
  <c r="BX47"/>
  <c r="BN47"/>
  <c r="AJ47"/>
  <c r="AP47" s="1"/>
  <c r="BP47"/>
  <c r="BV47" s="1"/>
  <c r="AX8"/>
  <c r="Q21" i="51"/>
  <c r="Q22" s="1"/>
  <c r="Q23" s="1"/>
  <c r="Q24"/>
  <c r="Q25"/>
  <c r="Q26" s="1"/>
  <c r="J8" i="49"/>
  <c r="P35" i="58" s="1"/>
  <c r="P39" i="47" l="1"/>
  <c r="AR51"/>
  <c r="AX51" s="1"/>
  <c r="AR28"/>
  <c r="AX28" s="1"/>
  <c r="AZ28"/>
  <c r="BF28" s="1"/>
  <c r="AR16"/>
  <c r="AX16" s="1"/>
  <c r="AB22"/>
  <c r="C132" i="59"/>
  <c r="Q31" i="47"/>
  <c r="P31" s="1"/>
  <c r="Q45"/>
  <c r="P45" s="1"/>
  <c r="R45" s="1"/>
  <c r="Q49"/>
  <c r="P49" s="1"/>
  <c r="R49" s="1"/>
  <c r="Q30"/>
  <c r="P30" s="1"/>
  <c r="R30" s="1"/>
  <c r="Q34"/>
  <c r="P34" s="1"/>
  <c r="Q42"/>
  <c r="P42" s="1"/>
  <c r="AY29" i="46"/>
  <c r="BB29" s="1"/>
  <c r="BB51"/>
  <c r="Z40" i="47"/>
  <c r="L35" i="59"/>
  <c r="F27" i="47"/>
  <c r="Z27" s="1"/>
  <c r="AY30" i="46"/>
  <c r="BB30" s="1"/>
  <c r="BD30" s="1"/>
  <c r="BF30" s="1"/>
  <c r="Q23" i="47"/>
  <c r="P32"/>
  <c r="Z24"/>
  <c r="AY41" i="46"/>
  <c r="BB41" s="1"/>
  <c r="AY27"/>
  <c r="BB27" s="1"/>
  <c r="BD27" s="1"/>
  <c r="BF27" s="1"/>
  <c r="P23" i="37"/>
  <c r="R12"/>
  <c r="R23" s="1"/>
  <c r="Q19" i="47"/>
  <c r="P19" s="1"/>
  <c r="R19" s="1"/>
  <c r="AH28"/>
  <c r="Z19"/>
  <c r="Q47"/>
  <c r="P47" s="1"/>
  <c r="R47" s="1"/>
  <c r="Q20"/>
  <c r="P20" s="1"/>
  <c r="AY53" i="46"/>
  <c r="AJ28" i="47"/>
  <c r="AP28" s="1"/>
  <c r="BP16"/>
  <c r="BV16" s="1"/>
  <c r="AZ47"/>
  <c r="BF47" s="1"/>
  <c r="BH51"/>
  <c r="BN51" s="1"/>
  <c r="BH46"/>
  <c r="BN46" s="1"/>
  <c r="AH16"/>
  <c r="AJ16"/>
  <c r="AP16" s="1"/>
  <c r="BP38"/>
  <c r="BV38" s="1"/>
  <c r="BX38"/>
  <c r="BX50"/>
  <c r="AZ44"/>
  <c r="BF44" s="1"/>
  <c r="BH35"/>
  <c r="BN35" s="1"/>
  <c r="BH36"/>
  <c r="BN36" s="1"/>
  <c r="F50"/>
  <c r="Z50" s="1"/>
  <c r="AB27"/>
  <c r="AB24"/>
  <c r="AB17"/>
  <c r="Z17"/>
  <c r="Q13"/>
  <c r="P13" s="1"/>
  <c r="R13" s="1"/>
  <c r="Q17"/>
  <c r="P17" s="1"/>
  <c r="R17" s="1"/>
  <c r="Q39"/>
  <c r="Q12"/>
  <c r="L38" i="59"/>
  <c r="AY20" i="46"/>
  <c r="L20" i="59"/>
  <c r="Z16" i="47"/>
  <c r="Z44"/>
  <c r="AY34" i="46"/>
  <c r="BB34" s="1"/>
  <c r="BD34" s="1"/>
  <c r="BF34" s="1"/>
  <c r="AY39"/>
  <c r="BB39" s="1"/>
  <c r="BD39" s="1"/>
  <c r="BF39" s="1"/>
  <c r="R53" i="37"/>
  <c r="R80"/>
  <c r="R116"/>
  <c r="R147"/>
  <c r="R145"/>
  <c r="R140"/>
  <c r="R151" s="1"/>
  <c r="R182"/>
  <c r="AT56" i="46"/>
  <c r="AY52"/>
  <c r="BB52" s="1"/>
  <c r="BD52" s="1"/>
  <c r="BF52" s="1"/>
  <c r="Z30" i="47"/>
  <c r="L34" i="59"/>
  <c r="L44"/>
  <c r="AY19" i="46"/>
  <c r="AY11"/>
  <c r="BG11" s="1"/>
  <c r="R49" i="37"/>
  <c r="R83"/>
  <c r="R112"/>
  <c r="R143"/>
  <c r="R141"/>
  <c r="R178"/>
  <c r="G133" i="59"/>
  <c r="P136" i="52" s="1"/>
  <c r="R136" s="1"/>
  <c r="G73" i="59"/>
  <c r="G71"/>
  <c r="G74"/>
  <c r="G77"/>
  <c r="Q27" i="51"/>
  <c r="L106" i="59"/>
  <c r="C106" s="1"/>
  <c r="CC46" i="46"/>
  <c r="CB46"/>
  <c r="CC19"/>
  <c r="CB19"/>
  <c r="BH17" i="47"/>
  <c r="BN17" s="1"/>
  <c r="AR17"/>
  <c r="AX17" s="1"/>
  <c r="AH17"/>
  <c r="Q36"/>
  <c r="P36" s="1"/>
  <c r="R36" s="1"/>
  <c r="Q40"/>
  <c r="P40" s="1"/>
  <c r="R40" s="1"/>
  <c r="BH23"/>
  <c r="BN23" s="1"/>
  <c r="AR23"/>
  <c r="AX23" s="1"/>
  <c r="AH23"/>
  <c r="AZ23"/>
  <c r="BF23" s="1"/>
  <c r="BX23"/>
  <c r="AJ23"/>
  <c r="AP23" s="1"/>
  <c r="BP23"/>
  <c r="BV23" s="1"/>
  <c r="CC50" i="46"/>
  <c r="CB50"/>
  <c r="CC47"/>
  <c r="CB47"/>
  <c r="CC43"/>
  <c r="CB43"/>
  <c r="CB42"/>
  <c r="CC42"/>
  <c r="CC34"/>
  <c r="CB34"/>
  <c r="CB31"/>
  <c r="CC31"/>
  <c r="CB28"/>
  <c r="CC28"/>
  <c r="CB27"/>
  <c r="CC27"/>
  <c r="CC17"/>
  <c r="CB17"/>
  <c r="CC15"/>
  <c r="CB15"/>
  <c r="N121" i="37"/>
  <c r="R110"/>
  <c r="R121" s="1"/>
  <c r="BD51" i="46"/>
  <c r="BF51" s="1"/>
  <c r="Z43" i="47"/>
  <c r="Z26"/>
  <c r="BB47" i="46"/>
  <c r="BD47" s="1"/>
  <c r="BF47" s="1"/>
  <c r="BD41"/>
  <c r="BF41" s="1"/>
  <c r="BB15"/>
  <c r="BD15" s="1"/>
  <c r="BF15" s="1"/>
  <c r="BH41" i="47"/>
  <c r="BN41" s="1"/>
  <c r="AR41"/>
  <c r="AX41" s="1"/>
  <c r="AH41"/>
  <c r="BP41"/>
  <c r="BV41" s="1"/>
  <c r="AZ41"/>
  <c r="BF41" s="1"/>
  <c r="BH33"/>
  <c r="BN33" s="1"/>
  <c r="AR33"/>
  <c r="AX33" s="1"/>
  <c r="AH33"/>
  <c r="BX33"/>
  <c r="AJ33"/>
  <c r="AP33" s="1"/>
  <c r="BP33"/>
  <c r="BV33" s="1"/>
  <c r="BX27"/>
  <c r="BH27"/>
  <c r="BN27" s="1"/>
  <c r="AR27"/>
  <c r="AX27" s="1"/>
  <c r="AH27"/>
  <c r="C131" i="59"/>
  <c r="AZ12" i="47"/>
  <c r="BF12" s="1"/>
  <c r="AR12"/>
  <c r="AX12" s="1"/>
  <c r="BX12"/>
  <c r="AJ12"/>
  <c r="AP12" s="1"/>
  <c r="AH12"/>
  <c r="BP12"/>
  <c r="BV12" s="1"/>
  <c r="CB48" i="46"/>
  <c r="CC48"/>
  <c r="AB39" i="47"/>
  <c r="F39"/>
  <c r="Z39" s="1"/>
  <c r="CC37" i="46"/>
  <c r="CB37"/>
  <c r="CC35"/>
  <c r="CB35"/>
  <c r="CB30"/>
  <c r="CC30"/>
  <c r="CC26"/>
  <c r="CB26"/>
  <c r="CC22"/>
  <c r="CB22"/>
  <c r="CB18"/>
  <c r="CC18"/>
  <c r="CB11"/>
  <c r="CC11"/>
  <c r="R78" i="37"/>
  <c r="N87"/>
  <c r="BP40" i="47"/>
  <c r="BV40" s="1"/>
  <c r="Z49"/>
  <c r="Q18"/>
  <c r="P18" s="1"/>
  <c r="Q50"/>
  <c r="P50" s="1"/>
  <c r="R50" s="1"/>
  <c r="BB20" i="46"/>
  <c r="BB26"/>
  <c r="BD26" s="1"/>
  <c r="BF26" s="1"/>
  <c r="BX30" i="47"/>
  <c r="AZ30"/>
  <c r="BF30" s="1"/>
  <c r="AR30"/>
  <c r="AX30" s="1"/>
  <c r="AH30"/>
  <c r="AZ40"/>
  <c r="BF40" s="1"/>
  <c r="BX40"/>
  <c r="AJ40"/>
  <c r="AP40" s="1"/>
  <c r="AH40"/>
  <c r="AN52"/>
  <c r="BD32" i="46"/>
  <c r="BF32" s="1"/>
  <c r="BB32"/>
  <c r="CC49"/>
  <c r="CB49"/>
  <c r="CC44"/>
  <c r="CB44"/>
  <c r="CB41"/>
  <c r="CC41"/>
  <c r="CB33"/>
  <c r="CC33"/>
  <c r="CB25"/>
  <c r="CC25"/>
  <c r="CC21"/>
  <c r="CB21"/>
  <c r="CC16"/>
  <c r="CB16"/>
  <c r="BX41" i="47"/>
  <c r="R31"/>
  <c r="Q14"/>
  <c r="P14" s="1"/>
  <c r="R14" s="1"/>
  <c r="L49" i="59"/>
  <c r="BB53" i="46"/>
  <c r="BD53" s="1"/>
  <c r="BF53" s="1"/>
  <c r="BD29"/>
  <c r="BF29" s="1"/>
  <c r="BB19"/>
  <c r="AE49"/>
  <c r="AX49"/>
  <c r="AY49" s="1"/>
  <c r="BB49" s="1"/>
  <c r="BD49" s="1"/>
  <c r="BF49" s="1"/>
  <c r="BX49"/>
  <c r="AS49"/>
  <c r="AS44"/>
  <c r="J49" i="59"/>
  <c r="AS40" i="46"/>
  <c r="AV40"/>
  <c r="AA31"/>
  <c r="AX31"/>
  <c r="AY31" s="1"/>
  <c r="BB31" s="1"/>
  <c r="BD31" s="1"/>
  <c r="BF31" s="1"/>
  <c r="BX23"/>
  <c r="AV23"/>
  <c r="BX21"/>
  <c r="AS21"/>
  <c r="AV21"/>
  <c r="AS15"/>
  <c r="BX15"/>
  <c r="AS13"/>
  <c r="AH46" i="47"/>
  <c r="AR46"/>
  <c r="AX46" s="1"/>
  <c r="AH35"/>
  <c r="AJ35"/>
  <c r="AP35" s="1"/>
  <c r="BX35"/>
  <c r="AH14"/>
  <c r="BX14"/>
  <c r="AZ26"/>
  <c r="BF26" s="1"/>
  <c r="BH26"/>
  <c r="BN26" s="1"/>
  <c r="L23" i="59"/>
  <c r="P12" i="47"/>
  <c r="R12" s="1"/>
  <c r="R16"/>
  <c r="P26"/>
  <c r="R26" s="1"/>
  <c r="P44"/>
  <c r="R44" s="1"/>
  <c r="Q46"/>
  <c r="P46" s="1"/>
  <c r="R46" s="1"/>
  <c r="L56" i="59"/>
  <c r="AH47" i="47"/>
  <c r="AR47"/>
  <c r="AX47" s="1"/>
  <c r="BP51"/>
  <c r="BV51" s="1"/>
  <c r="AJ51"/>
  <c r="AP51" s="1"/>
  <c r="BX46"/>
  <c r="AH38"/>
  <c r="AR38"/>
  <c r="AX38" s="1"/>
  <c r="AH50"/>
  <c r="AZ50"/>
  <c r="BF50" s="1"/>
  <c r="AH44"/>
  <c r="AR44"/>
  <c r="AX44" s="1"/>
  <c r="AR31"/>
  <c r="AX31" s="1"/>
  <c r="AH22"/>
  <c r="AJ22"/>
  <c r="AP22" s="1"/>
  <c r="AR35"/>
  <c r="AX35" s="1"/>
  <c r="AR14"/>
  <c r="AX14" s="1"/>
  <c r="BH14"/>
  <c r="BN14" s="1"/>
  <c r="AJ26"/>
  <c r="AP26" s="1"/>
  <c r="Q48"/>
  <c r="P48" s="1"/>
  <c r="R48" s="1"/>
  <c r="F41"/>
  <c r="R41" s="1"/>
  <c r="AY16" i="46"/>
  <c r="BB16" s="1"/>
  <c r="BD16" s="1"/>
  <c r="BF16" s="1"/>
  <c r="AB10" i="47"/>
  <c r="AB48"/>
  <c r="AB13"/>
  <c r="F29"/>
  <c r="Z29" s="1"/>
  <c r="P23"/>
  <c r="R23" s="1"/>
  <c r="P35"/>
  <c r="R35" s="1"/>
  <c r="R43"/>
  <c r="Q15"/>
  <c r="P15" s="1"/>
  <c r="L58" i="59"/>
  <c r="AV24" i="46"/>
  <c r="AV28"/>
  <c r="J36" i="59"/>
  <c r="L36" s="1"/>
  <c r="AX22" i="46"/>
  <c r="AY22" s="1"/>
  <c r="BB22" s="1"/>
  <c r="BD22" s="1"/>
  <c r="BF22" s="1"/>
  <c r="J42" i="59"/>
  <c r="H52"/>
  <c r="L52" s="1"/>
  <c r="AX42" i="46"/>
  <c r="AY42" s="1"/>
  <c r="BB42" s="1"/>
  <c r="BD42" s="1"/>
  <c r="BF42" s="1"/>
  <c r="AX38"/>
  <c r="AY38" s="1"/>
  <c r="BB38" s="1"/>
  <c r="BD38" s="1"/>
  <c r="BF38" s="1"/>
  <c r="AA50"/>
  <c r="CB29"/>
  <c r="H53" i="59"/>
  <c r="L53" s="1"/>
  <c r="AV45" i="46"/>
  <c r="J55" i="59"/>
  <c r="L55" s="1"/>
  <c r="G59"/>
  <c r="AG53" i="46"/>
  <c r="BX51"/>
  <c r="AS50"/>
  <c r="G51" i="59"/>
  <c r="L51" s="1"/>
  <c r="AX44" i="46"/>
  <c r="AY44" s="1"/>
  <c r="BB44" s="1"/>
  <c r="BD44" s="1"/>
  <c r="BF44" s="1"/>
  <c r="AS41"/>
  <c r="G47" i="59"/>
  <c r="CC39" i="46"/>
  <c r="AE36"/>
  <c r="BX37"/>
  <c r="AX33"/>
  <c r="AY33" s="1"/>
  <c r="BB33" s="1"/>
  <c r="AA33"/>
  <c r="BX32"/>
  <c r="BX31"/>
  <c r="AG29"/>
  <c r="BX28"/>
  <c r="AX25"/>
  <c r="AY25" s="1"/>
  <c r="BB25" s="1"/>
  <c r="BD25" s="1"/>
  <c r="BF25" s="1"/>
  <c r="G31" i="59"/>
  <c r="L31" s="1"/>
  <c r="Z22" i="47"/>
  <c r="G30" i="59"/>
  <c r="H29"/>
  <c r="L29" s="1"/>
  <c r="AS22" i="46"/>
  <c r="BX18"/>
  <c r="AE16"/>
  <c r="AG17"/>
  <c r="AS17"/>
  <c r="AS11"/>
  <c r="Z12" i="47"/>
  <c r="G19" i="59"/>
  <c r="L151" i="37"/>
  <c r="L185"/>
  <c r="J67" i="58"/>
  <c r="I31" i="56"/>
  <c r="AS48" i="46"/>
  <c r="BY48"/>
  <c r="BY35"/>
  <c r="AV35"/>
  <c r="G39" i="59"/>
  <c r="L39" s="1"/>
  <c r="AA34" i="46"/>
  <c r="G32" i="59"/>
  <c r="L32" s="1"/>
  <c r="AA27" i="46"/>
  <c r="G26" i="59"/>
  <c r="L26" s="1"/>
  <c r="AA21" i="46"/>
  <c r="AS12"/>
  <c r="AV12"/>
  <c r="BZ14"/>
  <c r="CA14" s="1"/>
  <c r="AR14"/>
  <c r="G16" i="59"/>
  <c r="AA11" i="46"/>
  <c r="Z35" i="47"/>
  <c r="Z51"/>
  <c r="L45" i="59"/>
  <c r="Z14" i="47"/>
  <c r="P28"/>
  <c r="R28" s="1"/>
  <c r="Q22"/>
  <c r="P22" s="1"/>
  <c r="R22" s="1"/>
  <c r="Q38"/>
  <c r="P38" s="1"/>
  <c r="R38" s="1"/>
  <c r="H42" i="59"/>
  <c r="AV37" i="46"/>
  <c r="J46" i="59"/>
  <c r="L46" s="1"/>
  <c r="J59"/>
  <c r="G41"/>
  <c r="L41" s="1"/>
  <c r="AX40" i="46"/>
  <c r="AY40" s="1"/>
  <c r="BB40" s="1"/>
  <c r="BD40" s="1"/>
  <c r="BF40" s="1"/>
  <c r="AE40"/>
  <c r="BY26"/>
  <c r="AX28"/>
  <c r="BY24"/>
  <c r="AS24"/>
  <c r="BD20"/>
  <c r="BF20" s="1"/>
  <c r="H16" i="59"/>
  <c r="N57" i="37"/>
  <c r="R85"/>
  <c r="R81"/>
  <c r="R77"/>
  <c r="R76"/>
  <c r="R87" s="1"/>
  <c r="M55" i="48"/>
  <c r="G40" i="59"/>
  <c r="L40" s="1"/>
  <c r="AX35" i="46"/>
  <c r="AY35" s="1"/>
  <c r="BB35" s="1"/>
  <c r="BD35" s="1"/>
  <c r="BF35" s="1"/>
  <c r="AS28"/>
  <c r="J33" i="59"/>
  <c r="L33" s="1"/>
  <c r="BY18" i="46"/>
  <c r="AV18"/>
  <c r="AY18" s="1"/>
  <c r="BB18" s="1"/>
  <c r="BD18" s="1"/>
  <c r="BF18" s="1"/>
  <c r="P168" i="52"/>
  <c r="R168" s="1"/>
  <c r="P164"/>
  <c r="R164" s="1"/>
  <c r="AF13" i="46"/>
  <c r="AX13" s="1"/>
  <c r="AY13" s="1"/>
  <c r="BG13" s="1"/>
  <c r="J18" i="59" s="1"/>
  <c r="F18"/>
  <c r="AX43" i="46"/>
  <c r="AY43" s="1"/>
  <c r="BB43" s="1"/>
  <c r="BD43" s="1"/>
  <c r="BF43" s="1"/>
  <c r="BD33"/>
  <c r="BF33" s="1"/>
  <c r="BD19"/>
  <c r="BF19" s="1"/>
  <c r="P53" i="48"/>
  <c r="B57" s="1"/>
  <c r="AB56" i="46"/>
  <c r="N185" i="37"/>
  <c r="AS45" i="46"/>
  <c r="J50" i="59"/>
  <c r="L50" s="1"/>
  <c r="BX42" i="46"/>
  <c r="BY42"/>
  <c r="J47" i="59"/>
  <c r="BY25" i="46"/>
  <c r="J30" i="59"/>
  <c r="AS16" i="46"/>
  <c r="BX16"/>
  <c r="AG11"/>
  <c r="BL11"/>
  <c r="BP11" s="1"/>
  <c r="AA43"/>
  <c r="AX50"/>
  <c r="AY50" s="1"/>
  <c r="BB50" s="1"/>
  <c r="BD50" s="1"/>
  <c r="BF50" s="1"/>
  <c r="G43" i="59"/>
  <c r="L43" s="1"/>
  <c r="AX46" i="46"/>
  <c r="AY46" s="1"/>
  <c r="BB46" s="1"/>
  <c r="BD46" s="1"/>
  <c r="BF46" s="1"/>
  <c r="AS54"/>
  <c r="BY54"/>
  <c r="CC51"/>
  <c r="G48" i="59"/>
  <c r="L48" s="1"/>
  <c r="AX36" i="46"/>
  <c r="AY36" s="1"/>
  <c r="BB36" s="1"/>
  <c r="BD36" s="1"/>
  <c r="BF36" s="1"/>
  <c r="AE28"/>
  <c r="BX26"/>
  <c r="AY17"/>
  <c r="BB17" s="1"/>
  <c r="BD17" s="1"/>
  <c r="BF17" s="1"/>
  <c r="AE18"/>
  <c r="AL56"/>
  <c r="L87" i="37"/>
  <c r="L121"/>
  <c r="N151"/>
  <c r="L83" i="52"/>
  <c r="P77"/>
  <c r="R77" s="1"/>
  <c r="BT12" i="46"/>
  <c r="H133" i="50"/>
  <c r="J133" s="1"/>
  <c r="L133" s="1"/>
  <c r="N133" s="1"/>
  <c r="G34" i="54"/>
  <c r="J34" s="1"/>
  <c r="G38"/>
  <c r="J38" s="1"/>
  <c r="G50"/>
  <c r="J50" s="1"/>
  <c r="G54"/>
  <c r="J54" s="1"/>
  <c r="G66"/>
  <c r="J66" s="1"/>
  <c r="G70"/>
  <c r="J70" s="1"/>
  <c r="G24"/>
  <c r="I24" s="1"/>
  <c r="J24" s="1"/>
  <c r="L24" s="1"/>
  <c r="H35" i="50"/>
  <c r="J35" s="1"/>
  <c r="L35" s="1"/>
  <c r="N35" s="1"/>
  <c r="H47"/>
  <c r="J47" s="1"/>
  <c r="L47" s="1"/>
  <c r="N47" s="1"/>
  <c r="H51"/>
  <c r="J51" s="1"/>
  <c r="L51" s="1"/>
  <c r="N51" s="1"/>
  <c r="H63"/>
  <c r="J63" s="1"/>
  <c r="L63" s="1"/>
  <c r="N63" s="1"/>
  <c r="H67"/>
  <c r="J67" s="1"/>
  <c r="L67" s="1"/>
  <c r="N67" s="1"/>
  <c r="H79"/>
  <c r="J79" s="1"/>
  <c r="L79" s="1"/>
  <c r="N79" s="1"/>
  <c r="H83"/>
  <c r="J83" s="1"/>
  <c r="L83" s="1"/>
  <c r="N83" s="1"/>
  <c r="H95"/>
  <c r="J95" s="1"/>
  <c r="L95" s="1"/>
  <c r="N95" s="1"/>
  <c r="H99"/>
  <c r="J99" s="1"/>
  <c r="L99" s="1"/>
  <c r="N99" s="1"/>
  <c r="H111"/>
  <c r="J111" s="1"/>
  <c r="L111" s="1"/>
  <c r="N111" s="1"/>
  <c r="H115"/>
  <c r="J115" s="1"/>
  <c r="L115" s="1"/>
  <c r="N115" s="1"/>
  <c r="H127"/>
  <c r="J127" s="1"/>
  <c r="L127" s="1"/>
  <c r="N127" s="1"/>
  <c r="G25" i="54"/>
  <c r="J25" s="1"/>
  <c r="G37"/>
  <c r="J37" s="1"/>
  <c r="G41"/>
  <c r="J41" s="1"/>
  <c r="G53"/>
  <c r="J53" s="1"/>
  <c r="G57"/>
  <c r="J57" s="1"/>
  <c r="G69"/>
  <c r="J69" s="1"/>
  <c r="G73"/>
  <c r="J73" s="1"/>
  <c r="H13" i="50"/>
  <c r="J13" s="1"/>
  <c r="L13" s="1"/>
  <c r="H36"/>
  <c r="J36" s="1"/>
  <c r="L36" s="1"/>
  <c r="N36" s="1"/>
  <c r="H48"/>
  <c r="J48" s="1"/>
  <c r="L48" s="1"/>
  <c r="N48" s="1"/>
  <c r="H52"/>
  <c r="J52" s="1"/>
  <c r="L52" s="1"/>
  <c r="N52" s="1"/>
  <c r="H64"/>
  <c r="J64" s="1"/>
  <c r="L64" s="1"/>
  <c r="N64" s="1"/>
  <c r="H68"/>
  <c r="J68" s="1"/>
  <c r="L68" s="1"/>
  <c r="N68" s="1"/>
  <c r="H80"/>
  <c r="J80" s="1"/>
  <c r="L80" s="1"/>
  <c r="N80" s="1"/>
  <c r="H84"/>
  <c r="J84" s="1"/>
  <c r="L84" s="1"/>
  <c r="N84" s="1"/>
  <c r="H96"/>
  <c r="J96" s="1"/>
  <c r="L96" s="1"/>
  <c r="N96" s="1"/>
  <c r="H100"/>
  <c r="J100" s="1"/>
  <c r="L100" s="1"/>
  <c r="N100" s="1"/>
  <c r="H112"/>
  <c r="J112" s="1"/>
  <c r="L112" s="1"/>
  <c r="N112" s="1"/>
  <c r="H116"/>
  <c r="J116" s="1"/>
  <c r="L116" s="1"/>
  <c r="N116" s="1"/>
  <c r="G32" i="54"/>
  <c r="J32" s="1"/>
  <c r="G36"/>
  <c r="J36" s="1"/>
  <c r="G48"/>
  <c r="J48" s="1"/>
  <c r="G52"/>
  <c r="J52" s="1"/>
  <c r="G64"/>
  <c r="J64" s="1"/>
  <c r="G68"/>
  <c r="J68" s="1"/>
  <c r="G22"/>
  <c r="I22" s="1"/>
  <c r="J22" s="1"/>
  <c r="L22" s="1"/>
  <c r="H14" i="50"/>
  <c r="J14" s="1"/>
  <c r="L14" s="1"/>
  <c r="N14" s="1"/>
  <c r="H17"/>
  <c r="J17" s="1"/>
  <c r="L17" s="1"/>
  <c r="N17" s="1"/>
  <c r="H18"/>
  <c r="J18" s="1"/>
  <c r="L18" s="1"/>
  <c r="N18" s="1"/>
  <c r="H21"/>
  <c r="J21" s="1"/>
  <c r="L21" s="1"/>
  <c r="N21" s="1"/>
  <c r="H22"/>
  <c r="J22" s="1"/>
  <c r="L22" s="1"/>
  <c r="N22" s="1"/>
  <c r="H25"/>
  <c r="J25" s="1"/>
  <c r="L25" s="1"/>
  <c r="N25" s="1"/>
  <c r="H26"/>
  <c r="J26" s="1"/>
  <c r="L26" s="1"/>
  <c r="N26" s="1"/>
  <c r="H29"/>
  <c r="J29" s="1"/>
  <c r="L29" s="1"/>
  <c r="N29" s="1"/>
  <c r="H30"/>
  <c r="J30" s="1"/>
  <c r="L30" s="1"/>
  <c r="N30" s="1"/>
  <c r="H33"/>
  <c r="J33" s="1"/>
  <c r="L33" s="1"/>
  <c r="N33" s="1"/>
  <c r="H37"/>
  <c r="J37" s="1"/>
  <c r="L37" s="1"/>
  <c r="N37" s="1"/>
  <c r="H49"/>
  <c r="J49" s="1"/>
  <c r="L49" s="1"/>
  <c r="N49" s="1"/>
  <c r="H53"/>
  <c r="J53" s="1"/>
  <c r="L53" s="1"/>
  <c r="N53" s="1"/>
  <c r="H65"/>
  <c r="J65" s="1"/>
  <c r="L65" s="1"/>
  <c r="N65" s="1"/>
  <c r="H69"/>
  <c r="J69" s="1"/>
  <c r="L69" s="1"/>
  <c r="N69" s="1"/>
  <c r="H81"/>
  <c r="J81" s="1"/>
  <c r="L81" s="1"/>
  <c r="N81" s="1"/>
  <c r="H85"/>
  <c r="J85" s="1"/>
  <c r="L85" s="1"/>
  <c r="N85" s="1"/>
  <c r="H97"/>
  <c r="J97" s="1"/>
  <c r="L97" s="1"/>
  <c r="N97" s="1"/>
  <c r="H101"/>
  <c r="J101" s="1"/>
  <c r="L101" s="1"/>
  <c r="N101" s="1"/>
  <c r="H113"/>
  <c r="J113" s="1"/>
  <c r="L113" s="1"/>
  <c r="N113" s="1"/>
  <c r="H117"/>
  <c r="J117" s="1"/>
  <c r="L117" s="1"/>
  <c r="N117" s="1"/>
  <c r="G27" i="54"/>
  <c r="J27" s="1"/>
  <c r="G31"/>
  <c r="J31" s="1"/>
  <c r="G43"/>
  <c r="J43" s="1"/>
  <c r="G47"/>
  <c r="J47" s="1"/>
  <c r="G59"/>
  <c r="J59" s="1"/>
  <c r="G63"/>
  <c r="J63" s="1"/>
  <c r="G75"/>
  <c r="J75" s="1"/>
  <c r="G21"/>
  <c r="I21" s="1"/>
  <c r="J21" s="1"/>
  <c r="L21" s="1"/>
  <c r="H42" i="50"/>
  <c r="J42" s="1"/>
  <c r="L42" s="1"/>
  <c r="N42" s="1"/>
  <c r="H46"/>
  <c r="J46" s="1"/>
  <c r="L46" s="1"/>
  <c r="N46" s="1"/>
  <c r="H58"/>
  <c r="J58" s="1"/>
  <c r="L58" s="1"/>
  <c r="N58" s="1"/>
  <c r="H62"/>
  <c r="J62" s="1"/>
  <c r="L62" s="1"/>
  <c r="N62" s="1"/>
  <c r="H74"/>
  <c r="J74" s="1"/>
  <c r="L74" s="1"/>
  <c r="N74" s="1"/>
  <c r="H78"/>
  <c r="J78" s="1"/>
  <c r="L78" s="1"/>
  <c r="N78" s="1"/>
  <c r="H90"/>
  <c r="J90" s="1"/>
  <c r="L90" s="1"/>
  <c r="N90" s="1"/>
  <c r="H94"/>
  <c r="J94" s="1"/>
  <c r="L94" s="1"/>
  <c r="N94" s="1"/>
  <c r="H106"/>
  <c r="J106" s="1"/>
  <c r="L106" s="1"/>
  <c r="N106" s="1"/>
  <c r="H110"/>
  <c r="J110" s="1"/>
  <c r="L110" s="1"/>
  <c r="N110" s="1"/>
  <c r="H122"/>
  <c r="J122" s="1"/>
  <c r="L122" s="1"/>
  <c r="N122" s="1"/>
  <c r="H126"/>
  <c r="J126" s="1"/>
  <c r="L126" s="1"/>
  <c r="N126" s="1"/>
  <c r="H138"/>
  <c r="J138" s="1"/>
  <c r="L138" s="1"/>
  <c r="N138" s="1"/>
  <c r="H142"/>
  <c r="J142" s="1"/>
  <c r="L142" s="1"/>
  <c r="N142" s="1"/>
  <c r="H154"/>
  <c r="J154" s="1"/>
  <c r="L154" s="1"/>
  <c r="N154" s="1"/>
  <c r="H158"/>
  <c r="J158" s="1"/>
  <c r="L158" s="1"/>
  <c r="N158" s="1"/>
  <c r="H170"/>
  <c r="J170" s="1"/>
  <c r="L170" s="1"/>
  <c r="N170" s="1"/>
  <c r="H174"/>
  <c r="J174" s="1"/>
  <c r="L174" s="1"/>
  <c r="N174" s="1"/>
  <c r="H186"/>
  <c r="J186" s="1"/>
  <c r="L186" s="1"/>
  <c r="N186" s="1"/>
  <c r="H190"/>
  <c r="J190" s="1"/>
  <c r="L190" s="1"/>
  <c r="N190" s="1"/>
  <c r="H202"/>
  <c r="J202" s="1"/>
  <c r="L202" s="1"/>
  <c r="N202" s="1"/>
  <c r="H206"/>
  <c r="J206" s="1"/>
  <c r="L206" s="1"/>
  <c r="N206" s="1"/>
  <c r="H218"/>
  <c r="J218" s="1"/>
  <c r="L218" s="1"/>
  <c r="N218" s="1"/>
  <c r="H222"/>
  <c r="J222" s="1"/>
  <c r="L222" s="1"/>
  <c r="N222" s="1"/>
  <c r="H234"/>
  <c r="J234" s="1"/>
  <c r="L234" s="1"/>
  <c r="N234" s="1"/>
  <c r="H238"/>
  <c r="J238" s="1"/>
  <c r="L238" s="1"/>
  <c r="N238" s="1"/>
  <c r="H250"/>
  <c r="J250" s="1"/>
  <c r="L250" s="1"/>
  <c r="N250" s="1"/>
  <c r="H254"/>
  <c r="J254" s="1"/>
  <c r="L254" s="1"/>
  <c r="N254" s="1"/>
  <c r="H266"/>
  <c r="J266" s="1"/>
  <c r="L266" s="1"/>
  <c r="N266" s="1"/>
  <c r="H270"/>
  <c r="J270" s="1"/>
  <c r="L270" s="1"/>
  <c r="N270" s="1"/>
  <c r="H282"/>
  <c r="J282" s="1"/>
  <c r="L282" s="1"/>
  <c r="N282" s="1"/>
  <c r="H286"/>
  <c r="J286" s="1"/>
  <c r="L286" s="1"/>
  <c r="N286" s="1"/>
  <c r="H298"/>
  <c r="J298" s="1"/>
  <c r="L298" s="1"/>
  <c r="N298" s="1"/>
  <c r="H302"/>
  <c r="J302" s="1"/>
  <c r="L302" s="1"/>
  <c r="N302" s="1"/>
  <c r="H314"/>
  <c r="J314" s="1"/>
  <c r="L314" s="1"/>
  <c r="N314" s="1"/>
  <c r="H318"/>
  <c r="J318" s="1"/>
  <c r="L318" s="1"/>
  <c r="N318" s="1"/>
  <c r="H141"/>
  <c r="J141" s="1"/>
  <c r="L141" s="1"/>
  <c r="N141" s="1"/>
  <c r="H139"/>
  <c r="J139" s="1"/>
  <c r="L139" s="1"/>
  <c r="N139" s="1"/>
  <c r="H124"/>
  <c r="J124" s="1"/>
  <c r="L124" s="1"/>
  <c r="N124" s="1"/>
  <c r="BX24" i="47" l="1"/>
  <c r="BH24"/>
  <c r="BN24" s="1"/>
  <c r="AZ24"/>
  <c r="BF24" s="1"/>
  <c r="AR24"/>
  <c r="AX24" s="1"/>
  <c r="AJ24"/>
  <c r="AP24" s="1"/>
  <c r="BP24"/>
  <c r="BV24" s="1"/>
  <c r="AH24"/>
  <c r="BX17"/>
  <c r="BP17"/>
  <c r="BV17" s="1"/>
  <c r="AJ17"/>
  <c r="AP17" s="1"/>
  <c r="AZ17"/>
  <c r="BF17" s="1"/>
  <c r="P192" i="52"/>
  <c r="P139"/>
  <c r="R139" s="1"/>
  <c r="P42"/>
  <c r="R42" s="1"/>
  <c r="P162"/>
  <c r="R162" s="1"/>
  <c r="H258" i="50"/>
  <c r="J258" s="1"/>
  <c r="L258" s="1"/>
  <c r="N258" s="1"/>
  <c r="H178"/>
  <c r="J178" s="1"/>
  <c r="L178" s="1"/>
  <c r="N178" s="1"/>
  <c r="H130"/>
  <c r="J130" s="1"/>
  <c r="L130" s="1"/>
  <c r="N130" s="1"/>
  <c r="H82"/>
  <c r="J82" s="1"/>
  <c r="L82" s="1"/>
  <c r="N82" s="1"/>
  <c r="H34"/>
  <c r="J34" s="1"/>
  <c r="L34" s="1"/>
  <c r="N34" s="1"/>
  <c r="G35" i="54"/>
  <c r="J35" s="1"/>
  <c r="H105" i="50"/>
  <c r="J105" s="1"/>
  <c r="L105" s="1"/>
  <c r="N105" s="1"/>
  <c r="H89"/>
  <c r="J89" s="1"/>
  <c r="L89" s="1"/>
  <c r="N89" s="1"/>
  <c r="H73"/>
  <c r="J73" s="1"/>
  <c r="L73" s="1"/>
  <c r="N73" s="1"/>
  <c r="H57"/>
  <c r="J57" s="1"/>
  <c r="L57" s="1"/>
  <c r="N57" s="1"/>
  <c r="H41"/>
  <c r="J41" s="1"/>
  <c r="L41" s="1"/>
  <c r="N41" s="1"/>
  <c r="H31"/>
  <c r="J31" s="1"/>
  <c r="L31" s="1"/>
  <c r="N31" s="1"/>
  <c r="H27"/>
  <c r="J27" s="1"/>
  <c r="L27" s="1"/>
  <c r="N27" s="1"/>
  <c r="H23"/>
  <c r="J23" s="1"/>
  <c r="L23" s="1"/>
  <c r="N23" s="1"/>
  <c r="H19"/>
  <c r="J19" s="1"/>
  <c r="L19" s="1"/>
  <c r="N19" s="1"/>
  <c r="H15"/>
  <c r="J15" s="1"/>
  <c r="L15" s="1"/>
  <c r="N15" s="1"/>
  <c r="G72" i="54"/>
  <c r="J72" s="1"/>
  <c r="G56"/>
  <c r="J56" s="1"/>
  <c r="G40"/>
  <c r="J40" s="1"/>
  <c r="H120" i="50"/>
  <c r="J120" s="1"/>
  <c r="L120" s="1"/>
  <c r="N120" s="1"/>
  <c r="H104"/>
  <c r="J104" s="1"/>
  <c r="L104" s="1"/>
  <c r="N104" s="1"/>
  <c r="H88"/>
  <c r="J88" s="1"/>
  <c r="L88" s="1"/>
  <c r="N88" s="1"/>
  <c r="H72"/>
  <c r="J72" s="1"/>
  <c r="L72" s="1"/>
  <c r="N72" s="1"/>
  <c r="H56"/>
  <c r="J56" s="1"/>
  <c r="L56" s="1"/>
  <c r="N56" s="1"/>
  <c r="H40"/>
  <c r="J40" s="1"/>
  <c r="L40" s="1"/>
  <c r="N40" s="1"/>
  <c r="G19" i="54"/>
  <c r="I19" s="1"/>
  <c r="J19" s="1"/>
  <c r="L19" s="1"/>
  <c r="G61"/>
  <c r="J61" s="1"/>
  <c r="G45"/>
  <c r="J45" s="1"/>
  <c r="G29"/>
  <c r="J29" s="1"/>
  <c r="H119" i="50"/>
  <c r="J119" s="1"/>
  <c r="L119" s="1"/>
  <c r="N119" s="1"/>
  <c r="H103"/>
  <c r="J103" s="1"/>
  <c r="L103" s="1"/>
  <c r="N103" s="1"/>
  <c r="H87"/>
  <c r="J87" s="1"/>
  <c r="L87" s="1"/>
  <c r="N87" s="1"/>
  <c r="H71"/>
  <c r="J71" s="1"/>
  <c r="L71" s="1"/>
  <c r="N71" s="1"/>
  <c r="H55"/>
  <c r="J55" s="1"/>
  <c r="L55" s="1"/>
  <c r="N55" s="1"/>
  <c r="H39"/>
  <c r="J39" s="1"/>
  <c r="L39" s="1"/>
  <c r="N39" s="1"/>
  <c r="G74" i="54"/>
  <c r="J74" s="1"/>
  <c r="G58"/>
  <c r="J58" s="1"/>
  <c r="G42"/>
  <c r="J42" s="1"/>
  <c r="G26"/>
  <c r="J26" s="1"/>
  <c r="P46" i="52"/>
  <c r="P228"/>
  <c r="O9" i="60"/>
  <c r="O18" s="1"/>
  <c r="O43" s="1"/>
  <c r="L16" i="59"/>
  <c r="L30"/>
  <c r="P73" i="52"/>
  <c r="R73" s="1"/>
  <c r="G135" i="59"/>
  <c r="J145" s="1"/>
  <c r="P141" i="52"/>
  <c r="R141" s="1"/>
  <c r="R27" i="47"/>
  <c r="H131" i="50"/>
  <c r="J131" s="1"/>
  <c r="L131" s="1"/>
  <c r="N131" s="1"/>
  <c r="H129"/>
  <c r="J129" s="1"/>
  <c r="L129" s="1"/>
  <c r="N129" s="1"/>
  <c r="H140"/>
  <c r="J140" s="1"/>
  <c r="L140" s="1"/>
  <c r="N140" s="1"/>
  <c r="H145"/>
  <c r="J145" s="1"/>
  <c r="L145" s="1"/>
  <c r="N145" s="1"/>
  <c r="H152"/>
  <c r="J152" s="1"/>
  <c r="L152" s="1"/>
  <c r="N152" s="1"/>
  <c r="H156"/>
  <c r="J156" s="1"/>
  <c r="L156" s="1"/>
  <c r="N156" s="1"/>
  <c r="H161"/>
  <c r="J161" s="1"/>
  <c r="L161" s="1"/>
  <c r="N161" s="1"/>
  <c r="H169"/>
  <c r="J169" s="1"/>
  <c r="L169" s="1"/>
  <c r="N169" s="1"/>
  <c r="H175"/>
  <c r="J175" s="1"/>
  <c r="L175" s="1"/>
  <c r="N175" s="1"/>
  <c r="H180"/>
  <c r="J180" s="1"/>
  <c r="L180" s="1"/>
  <c r="N180" s="1"/>
  <c r="H184"/>
  <c r="J184" s="1"/>
  <c r="L184" s="1"/>
  <c r="N184" s="1"/>
  <c r="H188"/>
  <c r="J188" s="1"/>
  <c r="L188" s="1"/>
  <c r="N188" s="1"/>
  <c r="H197"/>
  <c r="J197" s="1"/>
  <c r="L197" s="1"/>
  <c r="N197" s="1"/>
  <c r="H208"/>
  <c r="J208" s="1"/>
  <c r="L208" s="1"/>
  <c r="N208" s="1"/>
  <c r="H211"/>
  <c r="J211" s="1"/>
  <c r="L211" s="1"/>
  <c r="N211" s="1"/>
  <c r="H217"/>
  <c r="J217" s="1"/>
  <c r="L217" s="1"/>
  <c r="N217" s="1"/>
  <c r="H221"/>
  <c r="J221" s="1"/>
  <c r="L221" s="1"/>
  <c r="N221" s="1"/>
  <c r="H225"/>
  <c r="J225" s="1"/>
  <c r="L225" s="1"/>
  <c r="N225" s="1"/>
  <c r="H231"/>
  <c r="J231" s="1"/>
  <c r="L231" s="1"/>
  <c r="N231" s="1"/>
  <c r="H235"/>
  <c r="J235" s="1"/>
  <c r="L235" s="1"/>
  <c r="N235" s="1"/>
  <c r="H239"/>
  <c r="J239" s="1"/>
  <c r="L239" s="1"/>
  <c r="N239" s="1"/>
  <c r="H244"/>
  <c r="J244" s="1"/>
  <c r="L244" s="1"/>
  <c r="N244" s="1"/>
  <c r="H248"/>
  <c r="J248" s="1"/>
  <c r="L248" s="1"/>
  <c r="N248" s="1"/>
  <c r="H252"/>
  <c r="J252" s="1"/>
  <c r="L252" s="1"/>
  <c r="N252" s="1"/>
  <c r="H261"/>
  <c r="J261" s="1"/>
  <c r="L261" s="1"/>
  <c r="N261" s="1"/>
  <c r="H272"/>
  <c r="J272" s="1"/>
  <c r="L272" s="1"/>
  <c r="N272" s="1"/>
  <c r="H275"/>
  <c r="J275" s="1"/>
  <c r="L275" s="1"/>
  <c r="N275" s="1"/>
  <c r="H281"/>
  <c r="J281" s="1"/>
  <c r="L281" s="1"/>
  <c r="N281" s="1"/>
  <c r="H285"/>
  <c r="J285" s="1"/>
  <c r="L285" s="1"/>
  <c r="N285" s="1"/>
  <c r="H289"/>
  <c r="J289" s="1"/>
  <c r="L289" s="1"/>
  <c r="N289" s="1"/>
  <c r="H295"/>
  <c r="J295" s="1"/>
  <c r="L295" s="1"/>
  <c r="N295" s="1"/>
  <c r="H299"/>
  <c r="J299" s="1"/>
  <c r="L299" s="1"/>
  <c r="N299" s="1"/>
  <c r="H303"/>
  <c r="J303" s="1"/>
  <c r="L303" s="1"/>
  <c r="N303" s="1"/>
  <c r="H308"/>
  <c r="J308" s="1"/>
  <c r="L308" s="1"/>
  <c r="N308" s="1"/>
  <c r="H312"/>
  <c r="J312" s="1"/>
  <c r="L312" s="1"/>
  <c r="N312" s="1"/>
  <c r="H316"/>
  <c r="J316" s="1"/>
  <c r="L316" s="1"/>
  <c r="N316" s="1"/>
  <c r="H325"/>
  <c r="J325" s="1"/>
  <c r="L325" s="1"/>
  <c r="N325" s="1"/>
  <c r="H331"/>
  <c r="J331" s="1"/>
  <c r="L331" s="1"/>
  <c r="N331" s="1"/>
  <c r="H333"/>
  <c r="J333" s="1"/>
  <c r="L333" s="1"/>
  <c r="N333" s="1"/>
  <c r="H338"/>
  <c r="J338" s="1"/>
  <c r="L338" s="1"/>
  <c r="N338" s="1"/>
  <c r="H344"/>
  <c r="J344" s="1"/>
  <c r="L344" s="1"/>
  <c r="N344" s="1"/>
  <c r="H347"/>
  <c r="J347" s="1"/>
  <c r="L347" s="1"/>
  <c r="N347" s="1"/>
  <c r="H349"/>
  <c r="J349" s="1"/>
  <c r="L349" s="1"/>
  <c r="N349" s="1"/>
  <c r="H354"/>
  <c r="J354" s="1"/>
  <c r="L354" s="1"/>
  <c r="N354" s="1"/>
  <c r="H360"/>
  <c r="J360" s="1"/>
  <c r="L360" s="1"/>
  <c r="N360" s="1"/>
  <c r="H363"/>
  <c r="J363" s="1"/>
  <c r="L363" s="1"/>
  <c r="N363" s="1"/>
  <c r="H365"/>
  <c r="J365" s="1"/>
  <c r="L365" s="1"/>
  <c r="N365" s="1"/>
  <c r="H370"/>
  <c r="J370" s="1"/>
  <c r="L370" s="1"/>
  <c r="N370" s="1"/>
  <c r="H376"/>
  <c r="J376" s="1"/>
  <c r="L376" s="1"/>
  <c r="N376" s="1"/>
  <c r="H379"/>
  <c r="J379" s="1"/>
  <c r="L379" s="1"/>
  <c r="N379" s="1"/>
  <c r="H381"/>
  <c r="J381" s="1"/>
  <c r="L381" s="1"/>
  <c r="N381" s="1"/>
  <c r="H386"/>
  <c r="J386" s="1"/>
  <c r="L386" s="1"/>
  <c r="N386" s="1"/>
  <c r="H392"/>
  <c r="J392" s="1"/>
  <c r="L392" s="1"/>
  <c r="N392" s="1"/>
  <c r="H395"/>
  <c r="J395" s="1"/>
  <c r="L395" s="1"/>
  <c r="N395" s="1"/>
  <c r="H397"/>
  <c r="J397" s="1"/>
  <c r="L397" s="1"/>
  <c r="N397" s="1"/>
  <c r="H402"/>
  <c r="J402" s="1"/>
  <c r="L402" s="1"/>
  <c r="N402" s="1"/>
  <c r="H408"/>
  <c r="J408" s="1"/>
  <c r="L408" s="1"/>
  <c r="N408" s="1"/>
  <c r="H411"/>
  <c r="J411" s="1"/>
  <c r="L411" s="1"/>
  <c r="N411" s="1"/>
  <c r="H413"/>
  <c r="J413" s="1"/>
  <c r="L413" s="1"/>
  <c r="N413" s="1"/>
  <c r="H418"/>
  <c r="J418" s="1"/>
  <c r="L418" s="1"/>
  <c r="N418" s="1"/>
  <c r="H424"/>
  <c r="J424" s="1"/>
  <c r="L424" s="1"/>
  <c r="N424" s="1"/>
  <c r="H427"/>
  <c r="J427" s="1"/>
  <c r="L427" s="1"/>
  <c r="N427" s="1"/>
  <c r="H429"/>
  <c r="J429" s="1"/>
  <c r="L429" s="1"/>
  <c r="N429" s="1"/>
  <c r="H434"/>
  <c r="J434" s="1"/>
  <c r="L434" s="1"/>
  <c r="N434" s="1"/>
  <c r="H440"/>
  <c r="J440" s="1"/>
  <c r="L440" s="1"/>
  <c r="N440" s="1"/>
  <c r="H443"/>
  <c r="J443" s="1"/>
  <c r="L443" s="1"/>
  <c r="N443" s="1"/>
  <c r="H445"/>
  <c r="J445" s="1"/>
  <c r="L445" s="1"/>
  <c r="N445" s="1"/>
  <c r="H450"/>
  <c r="J450" s="1"/>
  <c r="L450" s="1"/>
  <c r="N450" s="1"/>
  <c r="H456"/>
  <c r="J456" s="1"/>
  <c r="L456" s="1"/>
  <c r="N456" s="1"/>
  <c r="H459"/>
  <c r="J459" s="1"/>
  <c r="L459" s="1"/>
  <c r="N459" s="1"/>
  <c r="H461"/>
  <c r="J461" s="1"/>
  <c r="L461" s="1"/>
  <c r="N461" s="1"/>
  <c r="H466"/>
  <c r="J466" s="1"/>
  <c r="L466" s="1"/>
  <c r="N466" s="1"/>
  <c r="H472"/>
  <c r="J472" s="1"/>
  <c r="L472" s="1"/>
  <c r="N472" s="1"/>
  <c r="H475"/>
  <c r="J475" s="1"/>
  <c r="L475" s="1"/>
  <c r="N475" s="1"/>
  <c r="H477"/>
  <c r="J477" s="1"/>
  <c r="L477" s="1"/>
  <c r="N477" s="1"/>
  <c r="H482"/>
  <c r="J482" s="1"/>
  <c r="L482" s="1"/>
  <c r="N482" s="1"/>
  <c r="H488"/>
  <c r="J488" s="1"/>
  <c r="L488" s="1"/>
  <c r="N488" s="1"/>
  <c r="H491"/>
  <c r="J491" s="1"/>
  <c r="L491" s="1"/>
  <c r="N491" s="1"/>
  <c r="H493"/>
  <c r="J493" s="1"/>
  <c r="L493" s="1"/>
  <c r="N493" s="1"/>
  <c r="H498"/>
  <c r="J498" s="1"/>
  <c r="L498" s="1"/>
  <c r="N498" s="1"/>
  <c r="H504"/>
  <c r="J504" s="1"/>
  <c r="L504" s="1"/>
  <c r="N504" s="1"/>
  <c r="H507"/>
  <c r="J507" s="1"/>
  <c r="L507" s="1"/>
  <c r="N507" s="1"/>
  <c r="H509"/>
  <c r="J509" s="1"/>
  <c r="L509" s="1"/>
  <c r="N509" s="1"/>
  <c r="H514"/>
  <c r="J514" s="1"/>
  <c r="L514" s="1"/>
  <c r="N514" s="1"/>
  <c r="H520"/>
  <c r="J520" s="1"/>
  <c r="L520" s="1"/>
  <c r="N520" s="1"/>
  <c r="H523"/>
  <c r="J523" s="1"/>
  <c r="L523" s="1"/>
  <c r="N523" s="1"/>
  <c r="H525"/>
  <c r="J525" s="1"/>
  <c r="L525" s="1"/>
  <c r="N525" s="1"/>
  <c r="H530"/>
  <c r="J530" s="1"/>
  <c r="L530" s="1"/>
  <c r="N530" s="1"/>
  <c r="H536"/>
  <c r="J536" s="1"/>
  <c r="L536" s="1"/>
  <c r="N536" s="1"/>
  <c r="H539"/>
  <c r="J539" s="1"/>
  <c r="L539" s="1"/>
  <c r="N539" s="1"/>
  <c r="H541"/>
  <c r="J541" s="1"/>
  <c r="L541" s="1"/>
  <c r="N541" s="1"/>
  <c r="H546"/>
  <c r="J546" s="1"/>
  <c r="L546" s="1"/>
  <c r="N546" s="1"/>
  <c r="H552"/>
  <c r="J552" s="1"/>
  <c r="L552" s="1"/>
  <c r="N552" s="1"/>
  <c r="H555"/>
  <c r="J555" s="1"/>
  <c r="L555" s="1"/>
  <c r="N555" s="1"/>
  <c r="H557"/>
  <c r="J557" s="1"/>
  <c r="L557" s="1"/>
  <c r="N557" s="1"/>
  <c r="H562"/>
  <c r="J562" s="1"/>
  <c r="L562" s="1"/>
  <c r="N562" s="1"/>
  <c r="H568"/>
  <c r="J568" s="1"/>
  <c r="L568" s="1"/>
  <c r="N568" s="1"/>
  <c r="H571"/>
  <c r="J571" s="1"/>
  <c r="L571" s="1"/>
  <c r="N571" s="1"/>
  <c r="H573"/>
  <c r="J573" s="1"/>
  <c r="L573" s="1"/>
  <c r="N573" s="1"/>
  <c r="H578"/>
  <c r="J578" s="1"/>
  <c r="L578" s="1"/>
  <c r="N578" s="1"/>
  <c r="H584"/>
  <c r="J584" s="1"/>
  <c r="L584" s="1"/>
  <c r="N584" s="1"/>
  <c r="H587"/>
  <c r="J587" s="1"/>
  <c r="L587" s="1"/>
  <c r="N587" s="1"/>
  <c r="H589"/>
  <c r="J589" s="1"/>
  <c r="L589" s="1"/>
  <c r="N589" s="1"/>
  <c r="H594"/>
  <c r="J594" s="1"/>
  <c r="L594" s="1"/>
  <c r="N594" s="1"/>
  <c r="H600"/>
  <c r="J600" s="1"/>
  <c r="L600" s="1"/>
  <c r="N600" s="1"/>
  <c r="H603"/>
  <c r="J603" s="1"/>
  <c r="L603" s="1"/>
  <c r="N603" s="1"/>
  <c r="H605"/>
  <c r="J605" s="1"/>
  <c r="L605" s="1"/>
  <c r="N605" s="1"/>
  <c r="H610"/>
  <c r="J610" s="1"/>
  <c r="L610" s="1"/>
  <c r="N610" s="1"/>
  <c r="H17" i="51"/>
  <c r="M17" s="1"/>
  <c r="H20"/>
  <c r="M20" s="1"/>
  <c r="H22"/>
  <c r="M22" s="1"/>
  <c r="H27"/>
  <c r="M27" s="1"/>
  <c r="O27" s="1"/>
  <c r="H34"/>
  <c r="M34" s="1"/>
  <c r="O34" s="1"/>
  <c r="H37"/>
  <c r="M37" s="1"/>
  <c r="O37" s="1"/>
  <c r="H40"/>
  <c r="M40" s="1"/>
  <c r="O40" s="1"/>
  <c r="H45"/>
  <c r="M45" s="1"/>
  <c r="O45" s="1"/>
  <c r="I12" i="55"/>
  <c r="K12" s="1"/>
  <c r="I18"/>
  <c r="K18" s="1"/>
  <c r="I22"/>
  <c r="K22" s="1"/>
  <c r="I25"/>
  <c r="K25" s="1"/>
  <c r="I28"/>
  <c r="K28" s="1"/>
  <c r="I34"/>
  <c r="K34" s="1"/>
  <c r="I38"/>
  <c r="K38" s="1"/>
  <c r="I41"/>
  <c r="K41" s="1"/>
  <c r="I44"/>
  <c r="K44" s="1"/>
  <c r="I50"/>
  <c r="K50" s="1"/>
  <c r="I54"/>
  <c r="K54" s="1"/>
  <c r="I57"/>
  <c r="K57" s="1"/>
  <c r="I60"/>
  <c r="K60" s="1"/>
  <c r="I66"/>
  <c r="K66" s="1"/>
  <c r="I70"/>
  <c r="K70" s="1"/>
  <c r="I73"/>
  <c r="K73" s="1"/>
  <c r="I76"/>
  <c r="K76" s="1"/>
  <c r="I82"/>
  <c r="K82" s="1"/>
  <c r="I86"/>
  <c r="K86" s="1"/>
  <c r="I89"/>
  <c r="K89" s="1"/>
  <c r="G17" i="54"/>
  <c r="I17" s="1"/>
  <c r="J17" s="1"/>
  <c r="L17" s="1"/>
  <c r="H16" i="53"/>
  <c r="I16" s="1"/>
  <c r="H20"/>
  <c r="I20" s="1"/>
  <c r="H24"/>
  <c r="I24" s="1"/>
  <c r="H28"/>
  <c r="I28" s="1"/>
  <c r="H32"/>
  <c r="I32" s="1"/>
  <c r="H36"/>
  <c r="I36" s="1"/>
  <c r="H40"/>
  <c r="I40" s="1"/>
  <c r="H44"/>
  <c r="I44" s="1"/>
  <c r="H48"/>
  <c r="I48" s="1"/>
  <c r="H52"/>
  <c r="I52" s="1"/>
  <c r="H56"/>
  <c r="I56" s="1"/>
  <c r="H60"/>
  <c r="I60" s="1"/>
  <c r="H64"/>
  <c r="I64" s="1"/>
  <c r="H68"/>
  <c r="I68" s="1"/>
  <c r="H72"/>
  <c r="I72" s="1"/>
  <c r="H76"/>
  <c r="I76" s="1"/>
  <c r="H80"/>
  <c r="I80" s="1"/>
  <c r="H84"/>
  <c r="I84" s="1"/>
  <c r="H88"/>
  <c r="I88" s="1"/>
  <c r="H92"/>
  <c r="I92" s="1"/>
  <c r="H96"/>
  <c r="I96" s="1"/>
  <c r="H100"/>
  <c r="I100" s="1"/>
  <c r="H104"/>
  <c r="I104" s="1"/>
  <c r="H108"/>
  <c r="I108" s="1"/>
  <c r="H112"/>
  <c r="I112" s="1"/>
  <c r="H116"/>
  <c r="I116" s="1"/>
  <c r="H120"/>
  <c r="I120" s="1"/>
  <c r="H124"/>
  <c r="I124" s="1"/>
  <c r="H128"/>
  <c r="I128" s="1"/>
  <c r="H132"/>
  <c r="I132" s="1"/>
  <c r="H136"/>
  <c r="I136" s="1"/>
  <c r="H140"/>
  <c r="I140" s="1"/>
  <c r="H144"/>
  <c r="I144" s="1"/>
  <c r="H136" i="50"/>
  <c r="J136" s="1"/>
  <c r="L136" s="1"/>
  <c r="N136" s="1"/>
  <c r="H143"/>
  <c r="J143" s="1"/>
  <c r="L143" s="1"/>
  <c r="N143" s="1"/>
  <c r="H155"/>
  <c r="J155" s="1"/>
  <c r="L155" s="1"/>
  <c r="N155" s="1"/>
  <c r="H157"/>
  <c r="J157" s="1"/>
  <c r="L157" s="1"/>
  <c r="N157" s="1"/>
  <c r="H168"/>
  <c r="J168" s="1"/>
  <c r="L168" s="1"/>
  <c r="N168" s="1"/>
  <c r="H176"/>
  <c r="J176" s="1"/>
  <c r="L176" s="1"/>
  <c r="N176" s="1"/>
  <c r="H179"/>
  <c r="J179" s="1"/>
  <c r="L179" s="1"/>
  <c r="N179" s="1"/>
  <c r="H185"/>
  <c r="J185" s="1"/>
  <c r="L185" s="1"/>
  <c r="N185" s="1"/>
  <c r="H189"/>
  <c r="J189" s="1"/>
  <c r="L189" s="1"/>
  <c r="N189" s="1"/>
  <c r="H193"/>
  <c r="J193" s="1"/>
  <c r="L193" s="1"/>
  <c r="N193" s="1"/>
  <c r="H199"/>
  <c r="J199" s="1"/>
  <c r="L199" s="1"/>
  <c r="N199" s="1"/>
  <c r="H203"/>
  <c r="J203" s="1"/>
  <c r="L203" s="1"/>
  <c r="N203" s="1"/>
  <c r="H207"/>
  <c r="J207" s="1"/>
  <c r="L207" s="1"/>
  <c r="N207" s="1"/>
  <c r="H212"/>
  <c r="J212" s="1"/>
  <c r="L212" s="1"/>
  <c r="N212" s="1"/>
  <c r="H216"/>
  <c r="J216" s="1"/>
  <c r="L216" s="1"/>
  <c r="N216" s="1"/>
  <c r="H220"/>
  <c r="J220" s="1"/>
  <c r="L220" s="1"/>
  <c r="N220" s="1"/>
  <c r="H229"/>
  <c r="J229" s="1"/>
  <c r="L229" s="1"/>
  <c r="N229" s="1"/>
  <c r="H240"/>
  <c r="J240" s="1"/>
  <c r="L240" s="1"/>
  <c r="N240" s="1"/>
  <c r="H243"/>
  <c r="J243" s="1"/>
  <c r="L243" s="1"/>
  <c r="N243" s="1"/>
  <c r="H249"/>
  <c r="J249" s="1"/>
  <c r="L249" s="1"/>
  <c r="N249" s="1"/>
  <c r="H253"/>
  <c r="J253" s="1"/>
  <c r="L253" s="1"/>
  <c r="N253" s="1"/>
  <c r="H257"/>
  <c r="J257" s="1"/>
  <c r="L257" s="1"/>
  <c r="N257" s="1"/>
  <c r="H263"/>
  <c r="J263" s="1"/>
  <c r="L263" s="1"/>
  <c r="N263" s="1"/>
  <c r="H267"/>
  <c r="J267" s="1"/>
  <c r="L267" s="1"/>
  <c r="N267" s="1"/>
  <c r="H271"/>
  <c r="J271" s="1"/>
  <c r="L271" s="1"/>
  <c r="N271" s="1"/>
  <c r="H276"/>
  <c r="J276" s="1"/>
  <c r="L276" s="1"/>
  <c r="N276" s="1"/>
  <c r="H280"/>
  <c r="J280" s="1"/>
  <c r="L280" s="1"/>
  <c r="N280" s="1"/>
  <c r="H284"/>
  <c r="J284" s="1"/>
  <c r="L284" s="1"/>
  <c r="N284" s="1"/>
  <c r="H293"/>
  <c r="J293" s="1"/>
  <c r="L293" s="1"/>
  <c r="N293" s="1"/>
  <c r="H304"/>
  <c r="J304" s="1"/>
  <c r="L304" s="1"/>
  <c r="N304" s="1"/>
  <c r="H307"/>
  <c r="J307" s="1"/>
  <c r="L307" s="1"/>
  <c r="N307" s="1"/>
  <c r="H313"/>
  <c r="J313" s="1"/>
  <c r="L313" s="1"/>
  <c r="N313" s="1"/>
  <c r="H317"/>
  <c r="J317" s="1"/>
  <c r="L317" s="1"/>
  <c r="N317" s="1"/>
  <c r="H321"/>
  <c r="J321" s="1"/>
  <c r="L321" s="1"/>
  <c r="N321" s="1"/>
  <c r="H327"/>
  <c r="J327" s="1"/>
  <c r="L327" s="1"/>
  <c r="N327" s="1"/>
  <c r="H330"/>
  <c r="J330" s="1"/>
  <c r="L330" s="1"/>
  <c r="N330" s="1"/>
  <c r="H336"/>
  <c r="J336" s="1"/>
  <c r="L336" s="1"/>
  <c r="N336" s="1"/>
  <c r="H339"/>
  <c r="J339" s="1"/>
  <c r="L339" s="1"/>
  <c r="N339" s="1"/>
  <c r="H341"/>
  <c r="J341" s="1"/>
  <c r="L341" s="1"/>
  <c r="N341" s="1"/>
  <c r="H346"/>
  <c r="J346" s="1"/>
  <c r="L346" s="1"/>
  <c r="N346" s="1"/>
  <c r="H352"/>
  <c r="J352" s="1"/>
  <c r="L352" s="1"/>
  <c r="N352" s="1"/>
  <c r="H355"/>
  <c r="J355" s="1"/>
  <c r="L355" s="1"/>
  <c r="N355" s="1"/>
  <c r="H357"/>
  <c r="J357" s="1"/>
  <c r="L357" s="1"/>
  <c r="N357" s="1"/>
  <c r="H362"/>
  <c r="J362" s="1"/>
  <c r="L362" s="1"/>
  <c r="N362" s="1"/>
  <c r="H368"/>
  <c r="J368" s="1"/>
  <c r="L368" s="1"/>
  <c r="N368" s="1"/>
  <c r="H371"/>
  <c r="J371" s="1"/>
  <c r="L371" s="1"/>
  <c r="N371" s="1"/>
  <c r="H373"/>
  <c r="J373" s="1"/>
  <c r="L373" s="1"/>
  <c r="N373" s="1"/>
  <c r="H378"/>
  <c r="J378" s="1"/>
  <c r="L378" s="1"/>
  <c r="N378" s="1"/>
  <c r="H384"/>
  <c r="J384" s="1"/>
  <c r="L384" s="1"/>
  <c r="N384" s="1"/>
  <c r="H387"/>
  <c r="J387" s="1"/>
  <c r="L387" s="1"/>
  <c r="N387" s="1"/>
  <c r="H389"/>
  <c r="J389" s="1"/>
  <c r="L389" s="1"/>
  <c r="N389" s="1"/>
  <c r="H394"/>
  <c r="J394" s="1"/>
  <c r="L394" s="1"/>
  <c r="N394" s="1"/>
  <c r="H400"/>
  <c r="J400" s="1"/>
  <c r="L400" s="1"/>
  <c r="N400" s="1"/>
  <c r="H403"/>
  <c r="J403" s="1"/>
  <c r="L403" s="1"/>
  <c r="N403" s="1"/>
  <c r="H405"/>
  <c r="J405" s="1"/>
  <c r="L405" s="1"/>
  <c r="N405" s="1"/>
  <c r="H410"/>
  <c r="J410" s="1"/>
  <c r="L410" s="1"/>
  <c r="N410" s="1"/>
  <c r="H416"/>
  <c r="J416" s="1"/>
  <c r="L416" s="1"/>
  <c r="N416" s="1"/>
  <c r="H419"/>
  <c r="J419" s="1"/>
  <c r="L419" s="1"/>
  <c r="N419" s="1"/>
  <c r="H421"/>
  <c r="J421" s="1"/>
  <c r="L421" s="1"/>
  <c r="N421" s="1"/>
  <c r="H426"/>
  <c r="J426" s="1"/>
  <c r="L426" s="1"/>
  <c r="N426" s="1"/>
  <c r="H432"/>
  <c r="J432" s="1"/>
  <c r="L432" s="1"/>
  <c r="N432" s="1"/>
  <c r="H435"/>
  <c r="J435" s="1"/>
  <c r="L435" s="1"/>
  <c r="N435" s="1"/>
  <c r="H437"/>
  <c r="J437" s="1"/>
  <c r="L437" s="1"/>
  <c r="N437" s="1"/>
  <c r="H442"/>
  <c r="J442" s="1"/>
  <c r="L442" s="1"/>
  <c r="N442" s="1"/>
  <c r="H448"/>
  <c r="J448" s="1"/>
  <c r="L448" s="1"/>
  <c r="N448" s="1"/>
  <c r="H451"/>
  <c r="J451" s="1"/>
  <c r="L451" s="1"/>
  <c r="N451" s="1"/>
  <c r="H453"/>
  <c r="J453" s="1"/>
  <c r="L453" s="1"/>
  <c r="N453" s="1"/>
  <c r="H458"/>
  <c r="J458" s="1"/>
  <c r="L458" s="1"/>
  <c r="N458" s="1"/>
  <c r="H464"/>
  <c r="J464" s="1"/>
  <c r="L464" s="1"/>
  <c r="N464" s="1"/>
  <c r="H467"/>
  <c r="J467" s="1"/>
  <c r="L467" s="1"/>
  <c r="N467" s="1"/>
  <c r="H469"/>
  <c r="J469" s="1"/>
  <c r="L469" s="1"/>
  <c r="N469" s="1"/>
  <c r="H474"/>
  <c r="J474" s="1"/>
  <c r="L474" s="1"/>
  <c r="N474" s="1"/>
  <c r="H480"/>
  <c r="J480" s="1"/>
  <c r="L480" s="1"/>
  <c r="N480" s="1"/>
  <c r="H483"/>
  <c r="J483" s="1"/>
  <c r="L483" s="1"/>
  <c r="N483" s="1"/>
  <c r="H485"/>
  <c r="J485" s="1"/>
  <c r="L485" s="1"/>
  <c r="N485" s="1"/>
  <c r="H490"/>
  <c r="J490" s="1"/>
  <c r="L490" s="1"/>
  <c r="N490" s="1"/>
  <c r="H496"/>
  <c r="J496" s="1"/>
  <c r="L496" s="1"/>
  <c r="N496" s="1"/>
  <c r="H499"/>
  <c r="J499" s="1"/>
  <c r="L499" s="1"/>
  <c r="N499" s="1"/>
  <c r="H501"/>
  <c r="J501" s="1"/>
  <c r="L501" s="1"/>
  <c r="N501" s="1"/>
  <c r="H506"/>
  <c r="J506" s="1"/>
  <c r="L506" s="1"/>
  <c r="N506" s="1"/>
  <c r="H512"/>
  <c r="J512" s="1"/>
  <c r="L512" s="1"/>
  <c r="N512" s="1"/>
  <c r="H515"/>
  <c r="J515" s="1"/>
  <c r="L515" s="1"/>
  <c r="N515" s="1"/>
  <c r="H517"/>
  <c r="J517" s="1"/>
  <c r="L517" s="1"/>
  <c r="N517" s="1"/>
  <c r="H522"/>
  <c r="J522" s="1"/>
  <c r="L522" s="1"/>
  <c r="N522" s="1"/>
  <c r="H528"/>
  <c r="J528" s="1"/>
  <c r="L528" s="1"/>
  <c r="N528" s="1"/>
  <c r="H531"/>
  <c r="J531" s="1"/>
  <c r="L531" s="1"/>
  <c r="N531" s="1"/>
  <c r="H533"/>
  <c r="J533" s="1"/>
  <c r="L533" s="1"/>
  <c r="N533" s="1"/>
  <c r="H538"/>
  <c r="J538" s="1"/>
  <c r="L538" s="1"/>
  <c r="N538" s="1"/>
  <c r="H544"/>
  <c r="J544" s="1"/>
  <c r="L544" s="1"/>
  <c r="N544" s="1"/>
  <c r="H547"/>
  <c r="J547" s="1"/>
  <c r="L547" s="1"/>
  <c r="N547" s="1"/>
  <c r="H549"/>
  <c r="J549" s="1"/>
  <c r="L549" s="1"/>
  <c r="N549" s="1"/>
  <c r="H554"/>
  <c r="J554" s="1"/>
  <c r="L554" s="1"/>
  <c r="N554" s="1"/>
  <c r="H560"/>
  <c r="J560" s="1"/>
  <c r="L560" s="1"/>
  <c r="N560" s="1"/>
  <c r="H563"/>
  <c r="J563" s="1"/>
  <c r="L563" s="1"/>
  <c r="N563" s="1"/>
  <c r="H565"/>
  <c r="J565" s="1"/>
  <c r="L565" s="1"/>
  <c r="N565" s="1"/>
  <c r="H570"/>
  <c r="J570" s="1"/>
  <c r="L570" s="1"/>
  <c r="N570" s="1"/>
  <c r="H576"/>
  <c r="J576" s="1"/>
  <c r="L576" s="1"/>
  <c r="N576" s="1"/>
  <c r="H579"/>
  <c r="J579" s="1"/>
  <c r="L579" s="1"/>
  <c r="N579" s="1"/>
  <c r="H581"/>
  <c r="J581" s="1"/>
  <c r="L581" s="1"/>
  <c r="N581" s="1"/>
  <c r="H586"/>
  <c r="J586" s="1"/>
  <c r="L586" s="1"/>
  <c r="N586" s="1"/>
  <c r="H592"/>
  <c r="J592" s="1"/>
  <c r="L592" s="1"/>
  <c r="N592" s="1"/>
  <c r="H595"/>
  <c r="J595" s="1"/>
  <c r="L595" s="1"/>
  <c r="N595" s="1"/>
  <c r="H597"/>
  <c r="J597" s="1"/>
  <c r="L597" s="1"/>
  <c r="N597" s="1"/>
  <c r="H602"/>
  <c r="J602" s="1"/>
  <c r="L602" s="1"/>
  <c r="N602" s="1"/>
  <c r="H608"/>
  <c r="J608" s="1"/>
  <c r="L608" s="1"/>
  <c r="N608" s="1"/>
  <c r="H611"/>
  <c r="J611" s="1"/>
  <c r="L611" s="1"/>
  <c r="N611" s="1"/>
  <c r="H13" i="51"/>
  <c r="M13" s="1"/>
  <c r="H16"/>
  <c r="M16" s="1"/>
  <c r="H23"/>
  <c r="M23" s="1"/>
  <c r="H26"/>
  <c r="M26" s="1"/>
  <c r="H30"/>
  <c r="M30" s="1"/>
  <c r="O30" s="1"/>
  <c r="H33"/>
  <c r="M33" s="1"/>
  <c r="O33" s="1"/>
  <c r="H41"/>
  <c r="M41" s="1"/>
  <c r="O41" s="1"/>
  <c r="H44"/>
  <c r="M44" s="1"/>
  <c r="O44" s="1"/>
  <c r="I14" i="55"/>
  <c r="K14" s="1"/>
  <c r="I17"/>
  <c r="K17" s="1"/>
  <c r="I20"/>
  <c r="K20" s="1"/>
  <c r="I26"/>
  <c r="K26" s="1"/>
  <c r="I30"/>
  <c r="K30" s="1"/>
  <c r="I33"/>
  <c r="K33" s="1"/>
  <c r="I36"/>
  <c r="K36" s="1"/>
  <c r="I42"/>
  <c r="K42" s="1"/>
  <c r="I46"/>
  <c r="K46" s="1"/>
  <c r="I49"/>
  <c r="K49" s="1"/>
  <c r="I52"/>
  <c r="K52" s="1"/>
  <c r="I58"/>
  <c r="K58" s="1"/>
  <c r="I62"/>
  <c r="K62" s="1"/>
  <c r="I65"/>
  <c r="K65" s="1"/>
  <c r="I68"/>
  <c r="K68" s="1"/>
  <c r="I74"/>
  <c r="K74" s="1"/>
  <c r="I78"/>
  <c r="K78" s="1"/>
  <c r="I81"/>
  <c r="K81" s="1"/>
  <c r="I84"/>
  <c r="K84" s="1"/>
  <c r="H135" i="50"/>
  <c r="J135" s="1"/>
  <c r="L135" s="1"/>
  <c r="N135" s="1"/>
  <c r="H147"/>
  <c r="J147" s="1"/>
  <c r="L147" s="1"/>
  <c r="N147" s="1"/>
  <c r="H149"/>
  <c r="J149" s="1"/>
  <c r="L149" s="1"/>
  <c r="N149" s="1"/>
  <c r="H153"/>
  <c r="J153" s="1"/>
  <c r="L153" s="1"/>
  <c r="N153" s="1"/>
  <c r="H159"/>
  <c r="J159" s="1"/>
  <c r="L159" s="1"/>
  <c r="N159" s="1"/>
  <c r="H164"/>
  <c r="J164" s="1"/>
  <c r="L164" s="1"/>
  <c r="N164" s="1"/>
  <c r="H167"/>
  <c r="J167" s="1"/>
  <c r="L167" s="1"/>
  <c r="N167" s="1"/>
  <c r="H171"/>
  <c r="J171" s="1"/>
  <c r="L171" s="1"/>
  <c r="N171" s="1"/>
  <c r="H173"/>
  <c r="J173" s="1"/>
  <c r="L173" s="1"/>
  <c r="N173" s="1"/>
  <c r="H181"/>
  <c r="J181" s="1"/>
  <c r="L181" s="1"/>
  <c r="N181" s="1"/>
  <c r="H192"/>
  <c r="J192" s="1"/>
  <c r="L192" s="1"/>
  <c r="N192" s="1"/>
  <c r="H195"/>
  <c r="J195" s="1"/>
  <c r="L195" s="1"/>
  <c r="N195" s="1"/>
  <c r="H201"/>
  <c r="J201" s="1"/>
  <c r="L201" s="1"/>
  <c r="N201" s="1"/>
  <c r="H205"/>
  <c r="J205" s="1"/>
  <c r="L205" s="1"/>
  <c r="N205" s="1"/>
  <c r="H209"/>
  <c r="J209" s="1"/>
  <c r="L209" s="1"/>
  <c r="N209" s="1"/>
  <c r="H215"/>
  <c r="J215" s="1"/>
  <c r="L215" s="1"/>
  <c r="N215" s="1"/>
  <c r="H219"/>
  <c r="J219" s="1"/>
  <c r="L219" s="1"/>
  <c r="N219" s="1"/>
  <c r="H223"/>
  <c r="J223" s="1"/>
  <c r="L223" s="1"/>
  <c r="N223" s="1"/>
  <c r="H228"/>
  <c r="J228" s="1"/>
  <c r="L228" s="1"/>
  <c r="N228" s="1"/>
  <c r="H232"/>
  <c r="J232" s="1"/>
  <c r="L232" s="1"/>
  <c r="N232" s="1"/>
  <c r="H236"/>
  <c r="J236" s="1"/>
  <c r="L236" s="1"/>
  <c r="N236" s="1"/>
  <c r="H245"/>
  <c r="J245" s="1"/>
  <c r="L245" s="1"/>
  <c r="N245" s="1"/>
  <c r="H256"/>
  <c r="J256" s="1"/>
  <c r="L256" s="1"/>
  <c r="N256" s="1"/>
  <c r="H259"/>
  <c r="J259" s="1"/>
  <c r="L259" s="1"/>
  <c r="N259" s="1"/>
  <c r="H265"/>
  <c r="J265" s="1"/>
  <c r="L265" s="1"/>
  <c r="N265" s="1"/>
  <c r="H269"/>
  <c r="J269" s="1"/>
  <c r="L269" s="1"/>
  <c r="N269" s="1"/>
  <c r="H273"/>
  <c r="J273" s="1"/>
  <c r="L273" s="1"/>
  <c r="N273" s="1"/>
  <c r="H279"/>
  <c r="J279" s="1"/>
  <c r="L279" s="1"/>
  <c r="N279" s="1"/>
  <c r="H283"/>
  <c r="J283" s="1"/>
  <c r="L283" s="1"/>
  <c r="N283" s="1"/>
  <c r="H287"/>
  <c r="J287" s="1"/>
  <c r="L287" s="1"/>
  <c r="N287" s="1"/>
  <c r="H292"/>
  <c r="J292" s="1"/>
  <c r="L292" s="1"/>
  <c r="N292" s="1"/>
  <c r="H296"/>
  <c r="J296" s="1"/>
  <c r="L296" s="1"/>
  <c r="N296" s="1"/>
  <c r="H300"/>
  <c r="J300" s="1"/>
  <c r="L300" s="1"/>
  <c r="N300" s="1"/>
  <c r="H309"/>
  <c r="J309" s="1"/>
  <c r="L309" s="1"/>
  <c r="N309" s="1"/>
  <c r="H320"/>
  <c r="J320" s="1"/>
  <c r="L320" s="1"/>
  <c r="N320" s="1"/>
  <c r="H323"/>
  <c r="J323" s="1"/>
  <c r="L323" s="1"/>
  <c r="N323" s="1"/>
  <c r="H329"/>
  <c r="J329" s="1"/>
  <c r="L329" s="1"/>
  <c r="N329" s="1"/>
  <c r="H334"/>
  <c r="J334" s="1"/>
  <c r="L334" s="1"/>
  <c r="N334" s="1"/>
  <c r="H340"/>
  <c r="J340" s="1"/>
  <c r="L340" s="1"/>
  <c r="N340" s="1"/>
  <c r="H343"/>
  <c r="J343" s="1"/>
  <c r="L343" s="1"/>
  <c r="N343" s="1"/>
  <c r="H345"/>
  <c r="J345" s="1"/>
  <c r="L345" s="1"/>
  <c r="N345" s="1"/>
  <c r="H350"/>
  <c r="J350" s="1"/>
  <c r="L350" s="1"/>
  <c r="N350" s="1"/>
  <c r="H356"/>
  <c r="J356" s="1"/>
  <c r="L356" s="1"/>
  <c r="N356" s="1"/>
  <c r="H359"/>
  <c r="J359" s="1"/>
  <c r="L359" s="1"/>
  <c r="N359" s="1"/>
  <c r="H361"/>
  <c r="J361" s="1"/>
  <c r="L361" s="1"/>
  <c r="N361" s="1"/>
  <c r="H366"/>
  <c r="J366" s="1"/>
  <c r="L366" s="1"/>
  <c r="N366" s="1"/>
  <c r="H372"/>
  <c r="J372" s="1"/>
  <c r="L372" s="1"/>
  <c r="N372" s="1"/>
  <c r="H375"/>
  <c r="J375" s="1"/>
  <c r="L375" s="1"/>
  <c r="N375" s="1"/>
  <c r="H377"/>
  <c r="J377" s="1"/>
  <c r="L377" s="1"/>
  <c r="N377" s="1"/>
  <c r="H382"/>
  <c r="J382" s="1"/>
  <c r="L382" s="1"/>
  <c r="N382" s="1"/>
  <c r="H388"/>
  <c r="J388" s="1"/>
  <c r="L388" s="1"/>
  <c r="N388" s="1"/>
  <c r="H391"/>
  <c r="J391" s="1"/>
  <c r="L391" s="1"/>
  <c r="N391" s="1"/>
  <c r="H393"/>
  <c r="J393" s="1"/>
  <c r="L393" s="1"/>
  <c r="N393" s="1"/>
  <c r="H398"/>
  <c r="J398" s="1"/>
  <c r="L398" s="1"/>
  <c r="N398" s="1"/>
  <c r="H404"/>
  <c r="J404" s="1"/>
  <c r="L404" s="1"/>
  <c r="N404" s="1"/>
  <c r="H407"/>
  <c r="J407" s="1"/>
  <c r="L407" s="1"/>
  <c r="N407" s="1"/>
  <c r="H409"/>
  <c r="J409" s="1"/>
  <c r="L409" s="1"/>
  <c r="N409" s="1"/>
  <c r="H414"/>
  <c r="J414" s="1"/>
  <c r="L414" s="1"/>
  <c r="N414" s="1"/>
  <c r="H420"/>
  <c r="J420" s="1"/>
  <c r="L420" s="1"/>
  <c r="N420" s="1"/>
  <c r="H423"/>
  <c r="J423" s="1"/>
  <c r="L423" s="1"/>
  <c r="N423" s="1"/>
  <c r="H425"/>
  <c r="J425" s="1"/>
  <c r="L425" s="1"/>
  <c r="N425" s="1"/>
  <c r="H430"/>
  <c r="J430" s="1"/>
  <c r="L430" s="1"/>
  <c r="N430" s="1"/>
  <c r="H436"/>
  <c r="J436" s="1"/>
  <c r="L436" s="1"/>
  <c r="N436" s="1"/>
  <c r="H439"/>
  <c r="J439" s="1"/>
  <c r="L439" s="1"/>
  <c r="N439" s="1"/>
  <c r="H441"/>
  <c r="J441" s="1"/>
  <c r="L441" s="1"/>
  <c r="N441" s="1"/>
  <c r="H446"/>
  <c r="J446" s="1"/>
  <c r="L446" s="1"/>
  <c r="N446" s="1"/>
  <c r="H452"/>
  <c r="J452" s="1"/>
  <c r="L452" s="1"/>
  <c r="N452" s="1"/>
  <c r="H455"/>
  <c r="J455" s="1"/>
  <c r="L455" s="1"/>
  <c r="N455" s="1"/>
  <c r="H457"/>
  <c r="J457" s="1"/>
  <c r="L457" s="1"/>
  <c r="N457" s="1"/>
  <c r="H462"/>
  <c r="J462" s="1"/>
  <c r="L462" s="1"/>
  <c r="N462" s="1"/>
  <c r="H468"/>
  <c r="J468" s="1"/>
  <c r="L468" s="1"/>
  <c r="N468" s="1"/>
  <c r="H471"/>
  <c r="J471" s="1"/>
  <c r="L471" s="1"/>
  <c r="N471" s="1"/>
  <c r="H473"/>
  <c r="J473" s="1"/>
  <c r="L473" s="1"/>
  <c r="N473" s="1"/>
  <c r="H478"/>
  <c r="J478" s="1"/>
  <c r="L478" s="1"/>
  <c r="N478" s="1"/>
  <c r="H484"/>
  <c r="J484" s="1"/>
  <c r="L484" s="1"/>
  <c r="N484" s="1"/>
  <c r="H487"/>
  <c r="J487" s="1"/>
  <c r="L487" s="1"/>
  <c r="N487" s="1"/>
  <c r="H489"/>
  <c r="J489" s="1"/>
  <c r="L489" s="1"/>
  <c r="N489" s="1"/>
  <c r="H494"/>
  <c r="J494" s="1"/>
  <c r="L494" s="1"/>
  <c r="N494" s="1"/>
  <c r="H500"/>
  <c r="J500" s="1"/>
  <c r="L500" s="1"/>
  <c r="N500" s="1"/>
  <c r="H503"/>
  <c r="J503" s="1"/>
  <c r="L503" s="1"/>
  <c r="N503" s="1"/>
  <c r="H505"/>
  <c r="J505" s="1"/>
  <c r="L505" s="1"/>
  <c r="N505" s="1"/>
  <c r="H510"/>
  <c r="J510" s="1"/>
  <c r="L510" s="1"/>
  <c r="N510" s="1"/>
  <c r="H516"/>
  <c r="J516" s="1"/>
  <c r="L516" s="1"/>
  <c r="N516" s="1"/>
  <c r="H519"/>
  <c r="J519" s="1"/>
  <c r="L519" s="1"/>
  <c r="N519" s="1"/>
  <c r="H521"/>
  <c r="J521" s="1"/>
  <c r="L521" s="1"/>
  <c r="N521" s="1"/>
  <c r="H526"/>
  <c r="J526" s="1"/>
  <c r="L526" s="1"/>
  <c r="N526" s="1"/>
  <c r="H532"/>
  <c r="J532" s="1"/>
  <c r="L532" s="1"/>
  <c r="N532" s="1"/>
  <c r="H535"/>
  <c r="J535" s="1"/>
  <c r="L535" s="1"/>
  <c r="N535" s="1"/>
  <c r="H537"/>
  <c r="J537" s="1"/>
  <c r="L537" s="1"/>
  <c r="N537" s="1"/>
  <c r="H542"/>
  <c r="J542" s="1"/>
  <c r="L542" s="1"/>
  <c r="N542" s="1"/>
  <c r="H548"/>
  <c r="J548" s="1"/>
  <c r="L548" s="1"/>
  <c r="N548" s="1"/>
  <c r="H551"/>
  <c r="J551" s="1"/>
  <c r="L551" s="1"/>
  <c r="N551" s="1"/>
  <c r="H553"/>
  <c r="J553" s="1"/>
  <c r="L553" s="1"/>
  <c r="N553" s="1"/>
  <c r="H558"/>
  <c r="J558" s="1"/>
  <c r="L558" s="1"/>
  <c r="N558" s="1"/>
  <c r="H564"/>
  <c r="J564" s="1"/>
  <c r="L564" s="1"/>
  <c r="N564" s="1"/>
  <c r="H567"/>
  <c r="J567" s="1"/>
  <c r="L567" s="1"/>
  <c r="N567" s="1"/>
  <c r="H569"/>
  <c r="J569" s="1"/>
  <c r="L569" s="1"/>
  <c r="N569" s="1"/>
  <c r="H574"/>
  <c r="J574" s="1"/>
  <c r="L574" s="1"/>
  <c r="N574" s="1"/>
  <c r="H580"/>
  <c r="J580" s="1"/>
  <c r="L580" s="1"/>
  <c r="N580" s="1"/>
  <c r="H583"/>
  <c r="J583" s="1"/>
  <c r="L583" s="1"/>
  <c r="N583" s="1"/>
  <c r="H585"/>
  <c r="J585" s="1"/>
  <c r="L585" s="1"/>
  <c r="N585" s="1"/>
  <c r="H590"/>
  <c r="J590" s="1"/>
  <c r="L590" s="1"/>
  <c r="N590" s="1"/>
  <c r="H596"/>
  <c r="J596" s="1"/>
  <c r="L596" s="1"/>
  <c r="N596" s="1"/>
  <c r="H599"/>
  <c r="J599" s="1"/>
  <c r="L599" s="1"/>
  <c r="N599" s="1"/>
  <c r="H601"/>
  <c r="J601" s="1"/>
  <c r="L601" s="1"/>
  <c r="N601" s="1"/>
  <c r="H606"/>
  <c r="J606" s="1"/>
  <c r="L606" s="1"/>
  <c r="N606" s="1"/>
  <c r="H612"/>
  <c r="J612" s="1"/>
  <c r="L612" s="1"/>
  <c r="N612" s="1"/>
  <c r="H15" i="51"/>
  <c r="M15" s="1"/>
  <c r="H18"/>
  <c r="M18" s="1"/>
  <c r="H25"/>
  <c r="M25" s="1"/>
  <c r="H28"/>
  <c r="M28" s="1"/>
  <c r="O28" s="1"/>
  <c r="H32"/>
  <c r="M32" s="1"/>
  <c r="O32" s="1"/>
  <c r="H35"/>
  <c r="M35" s="1"/>
  <c r="O35" s="1"/>
  <c r="H38"/>
  <c r="M38" s="1"/>
  <c r="O38" s="1"/>
  <c r="H43"/>
  <c r="M43" s="1"/>
  <c r="O43" s="1"/>
  <c r="H151" i="50"/>
  <c r="J151" s="1"/>
  <c r="L151" s="1"/>
  <c r="N151" s="1"/>
  <c r="H163"/>
  <c r="J163" s="1"/>
  <c r="L163" s="1"/>
  <c r="N163" s="1"/>
  <c r="H187"/>
  <c r="J187" s="1"/>
  <c r="L187" s="1"/>
  <c r="N187" s="1"/>
  <c r="H200"/>
  <c r="J200" s="1"/>
  <c r="L200" s="1"/>
  <c r="N200" s="1"/>
  <c r="H213"/>
  <c r="J213" s="1"/>
  <c r="L213" s="1"/>
  <c r="N213" s="1"/>
  <c r="H227"/>
  <c r="J227" s="1"/>
  <c r="L227" s="1"/>
  <c r="N227" s="1"/>
  <c r="H241"/>
  <c r="J241" s="1"/>
  <c r="L241" s="1"/>
  <c r="N241" s="1"/>
  <c r="H255"/>
  <c r="J255" s="1"/>
  <c r="L255" s="1"/>
  <c r="N255" s="1"/>
  <c r="H268"/>
  <c r="J268" s="1"/>
  <c r="L268" s="1"/>
  <c r="N268" s="1"/>
  <c r="H332"/>
  <c r="J332" s="1"/>
  <c r="L332" s="1"/>
  <c r="N332" s="1"/>
  <c r="H342"/>
  <c r="J342" s="1"/>
  <c r="L342" s="1"/>
  <c r="N342" s="1"/>
  <c r="H351"/>
  <c r="J351" s="1"/>
  <c r="L351" s="1"/>
  <c r="N351" s="1"/>
  <c r="H369"/>
  <c r="J369" s="1"/>
  <c r="L369" s="1"/>
  <c r="N369" s="1"/>
  <c r="H396"/>
  <c r="J396" s="1"/>
  <c r="L396" s="1"/>
  <c r="N396" s="1"/>
  <c r="H406"/>
  <c r="J406" s="1"/>
  <c r="L406" s="1"/>
  <c r="N406" s="1"/>
  <c r="H415"/>
  <c r="J415" s="1"/>
  <c r="L415" s="1"/>
  <c r="N415" s="1"/>
  <c r="H433"/>
  <c r="J433" s="1"/>
  <c r="L433" s="1"/>
  <c r="N433" s="1"/>
  <c r="H460"/>
  <c r="J460" s="1"/>
  <c r="L460" s="1"/>
  <c r="N460" s="1"/>
  <c r="H470"/>
  <c r="J470" s="1"/>
  <c r="L470" s="1"/>
  <c r="N470" s="1"/>
  <c r="H479"/>
  <c r="J479" s="1"/>
  <c r="L479" s="1"/>
  <c r="N479" s="1"/>
  <c r="H497"/>
  <c r="J497" s="1"/>
  <c r="L497" s="1"/>
  <c r="N497" s="1"/>
  <c r="H524"/>
  <c r="J524" s="1"/>
  <c r="L524" s="1"/>
  <c r="N524" s="1"/>
  <c r="H534"/>
  <c r="J534" s="1"/>
  <c r="L534" s="1"/>
  <c r="N534" s="1"/>
  <c r="H543"/>
  <c r="J543" s="1"/>
  <c r="L543" s="1"/>
  <c r="N543" s="1"/>
  <c r="H561"/>
  <c r="J561" s="1"/>
  <c r="L561" s="1"/>
  <c r="N561" s="1"/>
  <c r="H588"/>
  <c r="J588" s="1"/>
  <c r="L588" s="1"/>
  <c r="N588" s="1"/>
  <c r="H598"/>
  <c r="J598" s="1"/>
  <c r="L598" s="1"/>
  <c r="N598" s="1"/>
  <c r="H607"/>
  <c r="J607" s="1"/>
  <c r="L607" s="1"/>
  <c r="N607" s="1"/>
  <c r="H36" i="51"/>
  <c r="M36" s="1"/>
  <c r="O36" s="1"/>
  <c r="I13" i="55"/>
  <c r="K13" s="1"/>
  <c r="I19"/>
  <c r="K19" s="1"/>
  <c r="I32"/>
  <c r="K32" s="1"/>
  <c r="I39"/>
  <c r="K39" s="1"/>
  <c r="I45"/>
  <c r="K45" s="1"/>
  <c r="I51"/>
  <c r="K51" s="1"/>
  <c r="I64"/>
  <c r="K64" s="1"/>
  <c r="I71"/>
  <c r="K71" s="1"/>
  <c r="I77"/>
  <c r="K77" s="1"/>
  <c r="I83"/>
  <c r="K83" s="1"/>
  <c r="H14" i="53"/>
  <c r="I14" s="1"/>
  <c r="H19"/>
  <c r="I19" s="1"/>
  <c r="H25"/>
  <c r="I25" s="1"/>
  <c r="H30"/>
  <c r="I30" s="1"/>
  <c r="H35"/>
  <c r="I35" s="1"/>
  <c r="H41"/>
  <c r="I41" s="1"/>
  <c r="H46"/>
  <c r="I46" s="1"/>
  <c r="H51"/>
  <c r="I51" s="1"/>
  <c r="H57"/>
  <c r="I57" s="1"/>
  <c r="H62"/>
  <c r="I62" s="1"/>
  <c r="H67"/>
  <c r="I67" s="1"/>
  <c r="H73"/>
  <c r="I73" s="1"/>
  <c r="H78"/>
  <c r="I78" s="1"/>
  <c r="H83"/>
  <c r="I83" s="1"/>
  <c r="H89"/>
  <c r="I89" s="1"/>
  <c r="H94"/>
  <c r="I94" s="1"/>
  <c r="H99"/>
  <c r="I99" s="1"/>
  <c r="H105"/>
  <c r="I105" s="1"/>
  <c r="H110"/>
  <c r="I110" s="1"/>
  <c r="H115"/>
  <c r="I115" s="1"/>
  <c r="H121"/>
  <c r="I121" s="1"/>
  <c r="H126"/>
  <c r="I126" s="1"/>
  <c r="H131"/>
  <c r="I131" s="1"/>
  <c r="H137"/>
  <c r="I137" s="1"/>
  <c r="H142"/>
  <c r="I142" s="1"/>
  <c r="H147"/>
  <c r="I147" s="1"/>
  <c r="H151"/>
  <c r="I151" s="1"/>
  <c r="H155"/>
  <c r="I155" s="1"/>
  <c r="H159"/>
  <c r="I159" s="1"/>
  <c r="H163"/>
  <c r="I163" s="1"/>
  <c r="H167"/>
  <c r="I167" s="1"/>
  <c r="H171"/>
  <c r="I171" s="1"/>
  <c r="H175"/>
  <c r="I175" s="1"/>
  <c r="H179"/>
  <c r="I179" s="1"/>
  <c r="H183"/>
  <c r="I183" s="1"/>
  <c r="H187"/>
  <c r="I187" s="1"/>
  <c r="H191"/>
  <c r="I191" s="1"/>
  <c r="H195"/>
  <c r="I195" s="1"/>
  <c r="H199"/>
  <c r="I199" s="1"/>
  <c r="H203"/>
  <c r="I203" s="1"/>
  <c r="H207"/>
  <c r="I207" s="1"/>
  <c r="H211"/>
  <c r="I211" s="1"/>
  <c r="H215"/>
  <c r="I215" s="1"/>
  <c r="H219"/>
  <c r="I219" s="1"/>
  <c r="H223"/>
  <c r="I223" s="1"/>
  <c r="H227"/>
  <c r="I227" s="1"/>
  <c r="H231"/>
  <c r="I231" s="1"/>
  <c r="H235"/>
  <c r="I235" s="1"/>
  <c r="H239"/>
  <c r="I239" s="1"/>
  <c r="H243"/>
  <c r="I243" s="1"/>
  <c r="H247"/>
  <c r="I247" s="1"/>
  <c r="H251"/>
  <c r="I251" s="1"/>
  <c r="H255"/>
  <c r="I255" s="1"/>
  <c r="H259"/>
  <c r="I259" s="1"/>
  <c r="H263"/>
  <c r="I263" s="1"/>
  <c r="H267"/>
  <c r="I267" s="1"/>
  <c r="H271"/>
  <c r="I271" s="1"/>
  <c r="H275"/>
  <c r="I275" s="1"/>
  <c r="H279"/>
  <c r="I279" s="1"/>
  <c r="H283"/>
  <c r="I283" s="1"/>
  <c r="H287"/>
  <c r="I287" s="1"/>
  <c r="H291"/>
  <c r="I291" s="1"/>
  <c r="H295"/>
  <c r="I295" s="1"/>
  <c r="H299"/>
  <c r="I299" s="1"/>
  <c r="H303"/>
  <c r="I303" s="1"/>
  <c r="H307"/>
  <c r="I307" s="1"/>
  <c r="H311"/>
  <c r="I311" s="1"/>
  <c r="H315"/>
  <c r="I315" s="1"/>
  <c r="H319"/>
  <c r="I319" s="1"/>
  <c r="H323"/>
  <c r="I323" s="1"/>
  <c r="H327"/>
  <c r="I327" s="1"/>
  <c r="H331"/>
  <c r="I331" s="1"/>
  <c r="H335"/>
  <c r="I335" s="1"/>
  <c r="H47" i="51"/>
  <c r="M47" s="1"/>
  <c r="O47" s="1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219"/>
  <c r="H223"/>
  <c r="H227"/>
  <c r="H231"/>
  <c r="H235"/>
  <c r="H239"/>
  <c r="H243"/>
  <c r="H247"/>
  <c r="H251"/>
  <c r="H255"/>
  <c r="H259"/>
  <c r="H263"/>
  <c r="H267"/>
  <c r="H271"/>
  <c r="H275"/>
  <c r="H279"/>
  <c r="H283"/>
  <c r="H287"/>
  <c r="H291"/>
  <c r="H295"/>
  <c r="H299"/>
  <c r="H303"/>
  <c r="H307"/>
  <c r="H311"/>
  <c r="H315"/>
  <c r="H319"/>
  <c r="H323"/>
  <c r="H327"/>
  <c r="H331"/>
  <c r="H335"/>
  <c r="H339"/>
  <c r="H343"/>
  <c r="H347"/>
  <c r="H351"/>
  <c r="H355"/>
  <c r="H359"/>
  <c r="H363"/>
  <c r="H367"/>
  <c r="H371"/>
  <c r="H375"/>
  <c r="H379"/>
  <c r="H383"/>
  <c r="H387"/>
  <c r="H391"/>
  <c r="H395"/>
  <c r="H399"/>
  <c r="H403"/>
  <c r="H407"/>
  <c r="H411"/>
  <c r="H415"/>
  <c r="H419"/>
  <c r="H423"/>
  <c r="H427"/>
  <c r="H431"/>
  <c r="H435"/>
  <c r="H439"/>
  <c r="H443"/>
  <c r="H447"/>
  <c r="H451"/>
  <c r="H455"/>
  <c r="H459"/>
  <c r="H148" i="50"/>
  <c r="J148" s="1"/>
  <c r="L148" s="1"/>
  <c r="N148" s="1"/>
  <c r="H160"/>
  <c r="J160" s="1"/>
  <c r="L160" s="1"/>
  <c r="N160" s="1"/>
  <c r="H172"/>
  <c r="J172" s="1"/>
  <c r="L172" s="1"/>
  <c r="N172" s="1"/>
  <c r="H183"/>
  <c r="J183" s="1"/>
  <c r="L183" s="1"/>
  <c r="N183" s="1"/>
  <c r="H196"/>
  <c r="J196" s="1"/>
  <c r="L196" s="1"/>
  <c r="N196" s="1"/>
  <c r="H224"/>
  <c r="J224" s="1"/>
  <c r="L224" s="1"/>
  <c r="N224" s="1"/>
  <c r="H237"/>
  <c r="J237" s="1"/>
  <c r="L237" s="1"/>
  <c r="N237" s="1"/>
  <c r="H251"/>
  <c r="J251" s="1"/>
  <c r="L251" s="1"/>
  <c r="N251" s="1"/>
  <c r="H264"/>
  <c r="J264" s="1"/>
  <c r="L264" s="1"/>
  <c r="N264" s="1"/>
  <c r="H277"/>
  <c r="J277" s="1"/>
  <c r="L277" s="1"/>
  <c r="N277" s="1"/>
  <c r="H291"/>
  <c r="J291" s="1"/>
  <c r="L291" s="1"/>
  <c r="N291" s="1"/>
  <c r="H305"/>
  <c r="J305" s="1"/>
  <c r="L305" s="1"/>
  <c r="N305" s="1"/>
  <c r="H319"/>
  <c r="J319" s="1"/>
  <c r="L319" s="1"/>
  <c r="N319" s="1"/>
  <c r="H348"/>
  <c r="J348" s="1"/>
  <c r="L348" s="1"/>
  <c r="N348" s="1"/>
  <c r="H358"/>
  <c r="J358" s="1"/>
  <c r="L358" s="1"/>
  <c r="N358" s="1"/>
  <c r="H367"/>
  <c r="J367" s="1"/>
  <c r="L367" s="1"/>
  <c r="N367" s="1"/>
  <c r="H385"/>
  <c r="J385" s="1"/>
  <c r="L385" s="1"/>
  <c r="N385" s="1"/>
  <c r="H412"/>
  <c r="J412" s="1"/>
  <c r="L412" s="1"/>
  <c r="N412" s="1"/>
  <c r="H422"/>
  <c r="J422" s="1"/>
  <c r="L422" s="1"/>
  <c r="N422" s="1"/>
  <c r="H431"/>
  <c r="J431" s="1"/>
  <c r="L431" s="1"/>
  <c r="N431" s="1"/>
  <c r="H449"/>
  <c r="J449" s="1"/>
  <c r="L449" s="1"/>
  <c r="N449" s="1"/>
  <c r="H476"/>
  <c r="J476" s="1"/>
  <c r="L476" s="1"/>
  <c r="N476" s="1"/>
  <c r="H486"/>
  <c r="J486" s="1"/>
  <c r="L486" s="1"/>
  <c r="N486" s="1"/>
  <c r="H495"/>
  <c r="J495" s="1"/>
  <c r="L495" s="1"/>
  <c r="N495" s="1"/>
  <c r="H513"/>
  <c r="J513" s="1"/>
  <c r="L513" s="1"/>
  <c r="N513" s="1"/>
  <c r="H540"/>
  <c r="J540" s="1"/>
  <c r="L540" s="1"/>
  <c r="N540" s="1"/>
  <c r="H550"/>
  <c r="J550" s="1"/>
  <c r="L550" s="1"/>
  <c r="N550" s="1"/>
  <c r="H559"/>
  <c r="J559" s="1"/>
  <c r="L559" s="1"/>
  <c r="N559" s="1"/>
  <c r="H577"/>
  <c r="J577" s="1"/>
  <c r="L577" s="1"/>
  <c r="N577" s="1"/>
  <c r="H604"/>
  <c r="J604" s="1"/>
  <c r="L604" s="1"/>
  <c r="N604" s="1"/>
  <c r="H14" i="51"/>
  <c r="M14" s="1"/>
  <c r="H24"/>
  <c r="M24" s="1"/>
  <c r="I24" i="55"/>
  <c r="K24" s="1"/>
  <c r="I31"/>
  <c r="K31" s="1"/>
  <c r="I37"/>
  <c r="K37" s="1"/>
  <c r="I43"/>
  <c r="K43" s="1"/>
  <c r="I56"/>
  <c r="K56" s="1"/>
  <c r="I63"/>
  <c r="K63" s="1"/>
  <c r="I69"/>
  <c r="K69" s="1"/>
  <c r="I75"/>
  <c r="K75" s="1"/>
  <c r="I88"/>
  <c r="K88" s="1"/>
  <c r="H18" i="53"/>
  <c r="I18" s="1"/>
  <c r="H23"/>
  <c r="I23" s="1"/>
  <c r="H29"/>
  <c r="I29" s="1"/>
  <c r="H34"/>
  <c r="I34" s="1"/>
  <c r="H39"/>
  <c r="I39" s="1"/>
  <c r="H45"/>
  <c r="I45" s="1"/>
  <c r="H50"/>
  <c r="I50" s="1"/>
  <c r="H55"/>
  <c r="I55" s="1"/>
  <c r="H61"/>
  <c r="I61" s="1"/>
  <c r="H66"/>
  <c r="I66" s="1"/>
  <c r="H71"/>
  <c r="I71" s="1"/>
  <c r="H77"/>
  <c r="I77" s="1"/>
  <c r="H82"/>
  <c r="I82" s="1"/>
  <c r="H87"/>
  <c r="I87" s="1"/>
  <c r="H93"/>
  <c r="I93" s="1"/>
  <c r="H98"/>
  <c r="I98" s="1"/>
  <c r="H103"/>
  <c r="I103" s="1"/>
  <c r="H109"/>
  <c r="I109" s="1"/>
  <c r="H114"/>
  <c r="I114" s="1"/>
  <c r="H119"/>
  <c r="I119" s="1"/>
  <c r="H125"/>
  <c r="I125" s="1"/>
  <c r="H130"/>
  <c r="I130" s="1"/>
  <c r="H135"/>
  <c r="I135" s="1"/>
  <c r="H141"/>
  <c r="I141" s="1"/>
  <c r="H146"/>
  <c r="I146" s="1"/>
  <c r="H150"/>
  <c r="I150" s="1"/>
  <c r="H154"/>
  <c r="I154" s="1"/>
  <c r="H158"/>
  <c r="I158" s="1"/>
  <c r="H162"/>
  <c r="I162" s="1"/>
  <c r="H166"/>
  <c r="I166" s="1"/>
  <c r="H170"/>
  <c r="I170" s="1"/>
  <c r="H174"/>
  <c r="I174" s="1"/>
  <c r="H178"/>
  <c r="I178" s="1"/>
  <c r="H182"/>
  <c r="I182" s="1"/>
  <c r="H186"/>
  <c r="I186" s="1"/>
  <c r="H190"/>
  <c r="I190" s="1"/>
  <c r="H194"/>
  <c r="I194" s="1"/>
  <c r="H198"/>
  <c r="I198" s="1"/>
  <c r="H202"/>
  <c r="I202" s="1"/>
  <c r="H206"/>
  <c r="I206" s="1"/>
  <c r="H210"/>
  <c r="I210" s="1"/>
  <c r="H214"/>
  <c r="I214" s="1"/>
  <c r="H218"/>
  <c r="I218" s="1"/>
  <c r="H222"/>
  <c r="I222" s="1"/>
  <c r="H226"/>
  <c r="I226" s="1"/>
  <c r="H230"/>
  <c r="I230" s="1"/>
  <c r="H234"/>
  <c r="I234" s="1"/>
  <c r="H238"/>
  <c r="I238" s="1"/>
  <c r="H242"/>
  <c r="I242" s="1"/>
  <c r="H246"/>
  <c r="I246" s="1"/>
  <c r="H250"/>
  <c r="I250" s="1"/>
  <c r="H254"/>
  <c r="I254" s="1"/>
  <c r="H258"/>
  <c r="I258" s="1"/>
  <c r="H262"/>
  <c r="I262" s="1"/>
  <c r="H266"/>
  <c r="I266" s="1"/>
  <c r="H270"/>
  <c r="I270" s="1"/>
  <c r="H274"/>
  <c r="I274" s="1"/>
  <c r="H278"/>
  <c r="I278" s="1"/>
  <c r="H282"/>
  <c r="I282" s="1"/>
  <c r="H286"/>
  <c r="I286" s="1"/>
  <c r="H290"/>
  <c r="I290" s="1"/>
  <c r="H294"/>
  <c r="I294" s="1"/>
  <c r="H298"/>
  <c r="I298" s="1"/>
  <c r="H302"/>
  <c r="I302" s="1"/>
  <c r="H306"/>
  <c r="I306" s="1"/>
  <c r="H310"/>
  <c r="I310" s="1"/>
  <c r="H314"/>
  <c r="I314" s="1"/>
  <c r="H318"/>
  <c r="I318" s="1"/>
  <c r="H322"/>
  <c r="I322" s="1"/>
  <c r="H326"/>
  <c r="I326" s="1"/>
  <c r="H330"/>
  <c r="I330" s="1"/>
  <c r="H334"/>
  <c r="I334" s="1"/>
  <c r="H46" i="51"/>
  <c r="M46" s="1"/>
  <c r="O46" s="1"/>
  <c r="H50"/>
  <c r="H54"/>
  <c r="H58"/>
  <c r="H62"/>
  <c r="H66"/>
  <c r="H70"/>
  <c r="H74"/>
  <c r="H78"/>
  <c r="H82"/>
  <c r="H86"/>
  <c r="H90"/>
  <c r="H94"/>
  <c r="H98"/>
  <c r="H102"/>
  <c r="H106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18"/>
  <c r="H222"/>
  <c r="H226"/>
  <c r="H230"/>
  <c r="H234"/>
  <c r="H238"/>
  <c r="H242"/>
  <c r="H246"/>
  <c r="H250"/>
  <c r="H254"/>
  <c r="H258"/>
  <c r="H262"/>
  <c r="H266"/>
  <c r="H270"/>
  <c r="H274"/>
  <c r="H278"/>
  <c r="H282"/>
  <c r="H286"/>
  <c r="H290"/>
  <c r="H294"/>
  <c r="H298"/>
  <c r="H302"/>
  <c r="H306"/>
  <c r="H310"/>
  <c r="H314"/>
  <c r="H318"/>
  <c r="H322"/>
  <c r="H326"/>
  <c r="H330"/>
  <c r="H334"/>
  <c r="H338"/>
  <c r="H342"/>
  <c r="H346"/>
  <c r="H350"/>
  <c r="H354"/>
  <c r="H358"/>
  <c r="H362"/>
  <c r="H366"/>
  <c r="H370"/>
  <c r="H374"/>
  <c r="H378"/>
  <c r="H382"/>
  <c r="H386"/>
  <c r="H390"/>
  <c r="H394"/>
  <c r="H398"/>
  <c r="H402"/>
  <c r="H406"/>
  <c r="H410"/>
  <c r="H414"/>
  <c r="H418"/>
  <c r="H422"/>
  <c r="H426"/>
  <c r="H430"/>
  <c r="H434"/>
  <c r="H438"/>
  <c r="H442"/>
  <c r="H446"/>
  <c r="H450"/>
  <c r="H454"/>
  <c r="H458"/>
  <c r="H462"/>
  <c r="H144" i="50"/>
  <c r="J144" s="1"/>
  <c r="L144" s="1"/>
  <c r="N144" s="1"/>
  <c r="H233"/>
  <c r="J233" s="1"/>
  <c r="L233" s="1"/>
  <c r="N233" s="1"/>
  <c r="H247"/>
  <c r="J247" s="1"/>
  <c r="L247" s="1"/>
  <c r="N247" s="1"/>
  <c r="H260"/>
  <c r="J260" s="1"/>
  <c r="L260" s="1"/>
  <c r="N260" s="1"/>
  <c r="H288"/>
  <c r="J288" s="1"/>
  <c r="L288" s="1"/>
  <c r="N288" s="1"/>
  <c r="H301"/>
  <c r="J301" s="1"/>
  <c r="L301" s="1"/>
  <c r="N301" s="1"/>
  <c r="H315"/>
  <c r="J315" s="1"/>
  <c r="L315" s="1"/>
  <c r="N315" s="1"/>
  <c r="H328"/>
  <c r="J328" s="1"/>
  <c r="L328" s="1"/>
  <c r="N328" s="1"/>
  <c r="H337"/>
  <c r="J337" s="1"/>
  <c r="L337" s="1"/>
  <c r="N337" s="1"/>
  <c r="H364"/>
  <c r="J364" s="1"/>
  <c r="L364" s="1"/>
  <c r="N364" s="1"/>
  <c r="H374"/>
  <c r="J374" s="1"/>
  <c r="L374" s="1"/>
  <c r="N374" s="1"/>
  <c r="H383"/>
  <c r="J383" s="1"/>
  <c r="L383" s="1"/>
  <c r="N383" s="1"/>
  <c r="H401"/>
  <c r="J401" s="1"/>
  <c r="L401" s="1"/>
  <c r="N401" s="1"/>
  <c r="H428"/>
  <c r="J428" s="1"/>
  <c r="L428" s="1"/>
  <c r="N428" s="1"/>
  <c r="H438"/>
  <c r="J438" s="1"/>
  <c r="L438" s="1"/>
  <c r="N438" s="1"/>
  <c r="H447"/>
  <c r="J447" s="1"/>
  <c r="L447" s="1"/>
  <c r="N447" s="1"/>
  <c r="H465"/>
  <c r="J465" s="1"/>
  <c r="L465" s="1"/>
  <c r="N465" s="1"/>
  <c r="H492"/>
  <c r="J492" s="1"/>
  <c r="L492" s="1"/>
  <c r="N492" s="1"/>
  <c r="H502"/>
  <c r="J502" s="1"/>
  <c r="L502" s="1"/>
  <c r="N502" s="1"/>
  <c r="H511"/>
  <c r="J511" s="1"/>
  <c r="L511" s="1"/>
  <c r="N511" s="1"/>
  <c r="H529"/>
  <c r="J529" s="1"/>
  <c r="L529" s="1"/>
  <c r="N529" s="1"/>
  <c r="H556"/>
  <c r="J556" s="1"/>
  <c r="L556" s="1"/>
  <c r="N556" s="1"/>
  <c r="H566"/>
  <c r="J566" s="1"/>
  <c r="L566" s="1"/>
  <c r="N566" s="1"/>
  <c r="H575"/>
  <c r="J575" s="1"/>
  <c r="L575" s="1"/>
  <c r="N575" s="1"/>
  <c r="H593"/>
  <c r="J593" s="1"/>
  <c r="L593" s="1"/>
  <c r="N593" s="1"/>
  <c r="H21" i="51"/>
  <c r="M21" s="1"/>
  <c r="H31"/>
  <c r="M31" s="1"/>
  <c r="O31" s="1"/>
  <c r="H42"/>
  <c r="M42" s="1"/>
  <c r="O42" s="1"/>
  <c r="H137" i="50"/>
  <c r="J137" s="1"/>
  <c r="L137" s="1"/>
  <c r="N137" s="1"/>
  <c r="H165"/>
  <c r="J165" s="1"/>
  <c r="L165" s="1"/>
  <c r="N165" s="1"/>
  <c r="H177"/>
  <c r="J177" s="1"/>
  <c r="L177" s="1"/>
  <c r="N177" s="1"/>
  <c r="H191"/>
  <c r="J191" s="1"/>
  <c r="L191" s="1"/>
  <c r="N191" s="1"/>
  <c r="H204"/>
  <c r="J204" s="1"/>
  <c r="L204" s="1"/>
  <c r="N204" s="1"/>
  <c r="H297"/>
  <c r="J297" s="1"/>
  <c r="L297" s="1"/>
  <c r="N297" s="1"/>
  <c r="H311"/>
  <c r="J311" s="1"/>
  <c r="L311" s="1"/>
  <c r="N311" s="1"/>
  <c r="H324"/>
  <c r="J324" s="1"/>
  <c r="L324" s="1"/>
  <c r="N324" s="1"/>
  <c r="H335"/>
  <c r="J335" s="1"/>
  <c r="L335" s="1"/>
  <c r="N335" s="1"/>
  <c r="H353"/>
  <c r="J353" s="1"/>
  <c r="L353" s="1"/>
  <c r="N353" s="1"/>
  <c r="H380"/>
  <c r="J380" s="1"/>
  <c r="L380" s="1"/>
  <c r="N380" s="1"/>
  <c r="H390"/>
  <c r="J390" s="1"/>
  <c r="L390" s="1"/>
  <c r="N390" s="1"/>
  <c r="H399"/>
  <c r="J399" s="1"/>
  <c r="L399" s="1"/>
  <c r="N399" s="1"/>
  <c r="H417"/>
  <c r="J417" s="1"/>
  <c r="L417" s="1"/>
  <c r="N417" s="1"/>
  <c r="H444"/>
  <c r="J444" s="1"/>
  <c r="L444" s="1"/>
  <c r="N444" s="1"/>
  <c r="H454"/>
  <c r="J454" s="1"/>
  <c r="L454" s="1"/>
  <c r="N454" s="1"/>
  <c r="H463"/>
  <c r="J463" s="1"/>
  <c r="L463" s="1"/>
  <c r="N463" s="1"/>
  <c r="H481"/>
  <c r="J481" s="1"/>
  <c r="L481" s="1"/>
  <c r="N481" s="1"/>
  <c r="H508"/>
  <c r="J508" s="1"/>
  <c r="L508" s="1"/>
  <c r="N508" s="1"/>
  <c r="H518"/>
  <c r="J518" s="1"/>
  <c r="L518" s="1"/>
  <c r="N518" s="1"/>
  <c r="H527"/>
  <c r="J527" s="1"/>
  <c r="L527" s="1"/>
  <c r="N527" s="1"/>
  <c r="H545"/>
  <c r="J545" s="1"/>
  <c r="L545" s="1"/>
  <c r="N545" s="1"/>
  <c r="H572"/>
  <c r="J572" s="1"/>
  <c r="L572" s="1"/>
  <c r="N572" s="1"/>
  <c r="H582"/>
  <c r="J582" s="1"/>
  <c r="L582" s="1"/>
  <c r="N582" s="1"/>
  <c r="H591"/>
  <c r="J591" s="1"/>
  <c r="L591" s="1"/>
  <c r="N591" s="1"/>
  <c r="H609"/>
  <c r="J609" s="1"/>
  <c r="L609" s="1"/>
  <c r="N609" s="1"/>
  <c r="H19" i="51"/>
  <c r="M19" s="1"/>
  <c r="H29"/>
  <c r="M29" s="1"/>
  <c r="O29" s="1"/>
  <c r="H39"/>
  <c r="M39" s="1"/>
  <c r="O39" s="1"/>
  <c r="I15" i="55"/>
  <c r="K15" s="1"/>
  <c r="I21"/>
  <c r="K21" s="1"/>
  <c r="I27"/>
  <c r="K27" s="1"/>
  <c r="I40"/>
  <c r="K40" s="1"/>
  <c r="I47"/>
  <c r="K47" s="1"/>
  <c r="I53"/>
  <c r="K53" s="1"/>
  <c r="I59"/>
  <c r="K59" s="1"/>
  <c r="I72"/>
  <c r="K72" s="1"/>
  <c r="I79"/>
  <c r="K79" s="1"/>
  <c r="I85"/>
  <c r="K85" s="1"/>
  <c r="H15" i="53"/>
  <c r="I15" s="1"/>
  <c r="H21"/>
  <c r="I21" s="1"/>
  <c r="H26"/>
  <c r="I26" s="1"/>
  <c r="H31"/>
  <c r="I31" s="1"/>
  <c r="H37"/>
  <c r="I37" s="1"/>
  <c r="H42"/>
  <c r="I42" s="1"/>
  <c r="H47"/>
  <c r="I47" s="1"/>
  <c r="H53"/>
  <c r="I53" s="1"/>
  <c r="H58"/>
  <c r="I58" s="1"/>
  <c r="H63"/>
  <c r="I63" s="1"/>
  <c r="H69"/>
  <c r="I69" s="1"/>
  <c r="H74"/>
  <c r="I74" s="1"/>
  <c r="H79"/>
  <c r="I79" s="1"/>
  <c r="H85"/>
  <c r="I85" s="1"/>
  <c r="H90"/>
  <c r="I90" s="1"/>
  <c r="H95"/>
  <c r="I95" s="1"/>
  <c r="H101"/>
  <c r="I101" s="1"/>
  <c r="H106"/>
  <c r="I106" s="1"/>
  <c r="H111"/>
  <c r="I111" s="1"/>
  <c r="H117"/>
  <c r="I117" s="1"/>
  <c r="H122"/>
  <c r="I122" s="1"/>
  <c r="H127"/>
  <c r="I127" s="1"/>
  <c r="H133"/>
  <c r="I133" s="1"/>
  <c r="H138"/>
  <c r="I138" s="1"/>
  <c r="H143"/>
  <c r="I143" s="1"/>
  <c r="H148"/>
  <c r="I148" s="1"/>
  <c r="H152"/>
  <c r="I152" s="1"/>
  <c r="H156"/>
  <c r="I156" s="1"/>
  <c r="H160"/>
  <c r="I160" s="1"/>
  <c r="H164"/>
  <c r="I164" s="1"/>
  <c r="H168"/>
  <c r="I168" s="1"/>
  <c r="H172"/>
  <c r="I172" s="1"/>
  <c r="H176"/>
  <c r="I176" s="1"/>
  <c r="H180"/>
  <c r="I180" s="1"/>
  <c r="H184"/>
  <c r="I184" s="1"/>
  <c r="H188"/>
  <c r="I188" s="1"/>
  <c r="H192"/>
  <c r="I192" s="1"/>
  <c r="H196"/>
  <c r="I196" s="1"/>
  <c r="H200"/>
  <c r="I200" s="1"/>
  <c r="H204"/>
  <c r="I204" s="1"/>
  <c r="H208"/>
  <c r="I208" s="1"/>
  <c r="H212"/>
  <c r="I212" s="1"/>
  <c r="H216"/>
  <c r="I216" s="1"/>
  <c r="H220"/>
  <c r="I220" s="1"/>
  <c r="H224"/>
  <c r="I224" s="1"/>
  <c r="H228"/>
  <c r="I228" s="1"/>
  <c r="H232"/>
  <c r="I232" s="1"/>
  <c r="H236"/>
  <c r="I236" s="1"/>
  <c r="H240"/>
  <c r="I240" s="1"/>
  <c r="H244"/>
  <c r="I244" s="1"/>
  <c r="H248"/>
  <c r="I248" s="1"/>
  <c r="H252"/>
  <c r="I252" s="1"/>
  <c r="H256"/>
  <c r="I256" s="1"/>
  <c r="H260"/>
  <c r="I260" s="1"/>
  <c r="H264"/>
  <c r="I264" s="1"/>
  <c r="H268"/>
  <c r="I268" s="1"/>
  <c r="H272"/>
  <c r="I272" s="1"/>
  <c r="H276"/>
  <c r="I276" s="1"/>
  <c r="H280"/>
  <c r="I280" s="1"/>
  <c r="H284"/>
  <c r="I284" s="1"/>
  <c r="H288"/>
  <c r="I288" s="1"/>
  <c r="H292"/>
  <c r="I292" s="1"/>
  <c r="H296"/>
  <c r="I296" s="1"/>
  <c r="H300"/>
  <c r="I300" s="1"/>
  <c r="H304"/>
  <c r="I304" s="1"/>
  <c r="H308"/>
  <c r="I308" s="1"/>
  <c r="H312"/>
  <c r="I312" s="1"/>
  <c r="H316"/>
  <c r="I316" s="1"/>
  <c r="H320"/>
  <c r="I320" s="1"/>
  <c r="H324"/>
  <c r="I324" s="1"/>
  <c r="H328"/>
  <c r="I328" s="1"/>
  <c r="H332"/>
  <c r="I332" s="1"/>
  <c r="H336"/>
  <c r="I336" s="1"/>
  <c r="H48" i="51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H164"/>
  <c r="H168"/>
  <c r="H172"/>
  <c r="H176"/>
  <c r="H180"/>
  <c r="H184"/>
  <c r="H188"/>
  <c r="H192"/>
  <c r="H196"/>
  <c r="H200"/>
  <c r="H204"/>
  <c r="H208"/>
  <c r="H212"/>
  <c r="H216"/>
  <c r="H220"/>
  <c r="H224"/>
  <c r="H228"/>
  <c r="H232"/>
  <c r="H236"/>
  <c r="H240"/>
  <c r="H244"/>
  <c r="H248"/>
  <c r="H252"/>
  <c r="H256"/>
  <c r="H260"/>
  <c r="H264"/>
  <c r="H268"/>
  <c r="H272"/>
  <c r="H276"/>
  <c r="H280"/>
  <c r="H284"/>
  <c r="H288"/>
  <c r="H292"/>
  <c r="H296"/>
  <c r="H300"/>
  <c r="H304"/>
  <c r="H308"/>
  <c r="H312"/>
  <c r="H316"/>
  <c r="H320"/>
  <c r="H324"/>
  <c r="H328"/>
  <c r="H332"/>
  <c r="H336"/>
  <c r="H340"/>
  <c r="H344"/>
  <c r="H348"/>
  <c r="H352"/>
  <c r="H356"/>
  <c r="H360"/>
  <c r="H364"/>
  <c r="H368"/>
  <c r="H372"/>
  <c r="H376"/>
  <c r="H380"/>
  <c r="H384"/>
  <c r="H388"/>
  <c r="H392"/>
  <c r="H396"/>
  <c r="H400"/>
  <c r="H404"/>
  <c r="H408"/>
  <c r="H412"/>
  <c r="H416"/>
  <c r="H420"/>
  <c r="H424"/>
  <c r="H428"/>
  <c r="H432"/>
  <c r="H436"/>
  <c r="H440"/>
  <c r="H444"/>
  <c r="H448"/>
  <c r="H452"/>
  <c r="H456"/>
  <c r="H460"/>
  <c r="I16" i="55"/>
  <c r="K16" s="1"/>
  <c r="I67"/>
  <c r="K67" s="1"/>
  <c r="H22" i="53"/>
  <c r="I22" s="1"/>
  <c r="H43"/>
  <c r="I43" s="1"/>
  <c r="H65"/>
  <c r="I65" s="1"/>
  <c r="H86"/>
  <c r="I86" s="1"/>
  <c r="H107"/>
  <c r="I107" s="1"/>
  <c r="H129"/>
  <c r="I129" s="1"/>
  <c r="H149"/>
  <c r="I149" s="1"/>
  <c r="H165"/>
  <c r="I165" s="1"/>
  <c r="H181"/>
  <c r="I181" s="1"/>
  <c r="H197"/>
  <c r="I197" s="1"/>
  <c r="H213"/>
  <c r="I213" s="1"/>
  <c r="H229"/>
  <c r="I229" s="1"/>
  <c r="H245"/>
  <c r="I245" s="1"/>
  <c r="H261"/>
  <c r="I261" s="1"/>
  <c r="H277"/>
  <c r="I277" s="1"/>
  <c r="H293"/>
  <c r="I293" s="1"/>
  <c r="H309"/>
  <c r="I309" s="1"/>
  <c r="H325"/>
  <c r="I325" s="1"/>
  <c r="H49" i="51"/>
  <c r="H65"/>
  <c r="H81"/>
  <c r="H97"/>
  <c r="H113"/>
  <c r="H129"/>
  <c r="H145"/>
  <c r="H161"/>
  <c r="H177"/>
  <c r="H193"/>
  <c r="H209"/>
  <c r="H225"/>
  <c r="H241"/>
  <c r="H257"/>
  <c r="H273"/>
  <c r="H289"/>
  <c r="H305"/>
  <c r="H321"/>
  <c r="H337"/>
  <c r="H353"/>
  <c r="H369"/>
  <c r="H385"/>
  <c r="H401"/>
  <c r="H417"/>
  <c r="H433"/>
  <c r="H449"/>
  <c r="P49" i="52"/>
  <c r="R49" s="1"/>
  <c r="P111"/>
  <c r="R111" s="1"/>
  <c r="P166"/>
  <c r="R166" s="1"/>
  <c r="P105"/>
  <c r="R105" s="1"/>
  <c r="P14"/>
  <c r="R14" s="1"/>
  <c r="P230"/>
  <c r="R230" s="1"/>
  <c r="P200"/>
  <c r="R200" s="1"/>
  <c r="P135"/>
  <c r="R135" s="1"/>
  <c r="P74"/>
  <c r="R74" s="1"/>
  <c r="R83" s="1"/>
  <c r="P43"/>
  <c r="R43" s="1"/>
  <c r="P197"/>
  <c r="R197" s="1"/>
  <c r="P132"/>
  <c r="P226"/>
  <c r="R226" s="1"/>
  <c r="P165"/>
  <c r="R165" s="1"/>
  <c r="P78"/>
  <c r="R78" s="1"/>
  <c r="P13"/>
  <c r="R13" s="1"/>
  <c r="I35" i="55"/>
  <c r="K35" s="1"/>
  <c r="I61"/>
  <c r="K61" s="1"/>
  <c r="I87"/>
  <c r="K87" s="1"/>
  <c r="H17" i="53"/>
  <c r="I17" s="1"/>
  <c r="H38"/>
  <c r="I38" s="1"/>
  <c r="H59"/>
  <c r="I59" s="1"/>
  <c r="H81"/>
  <c r="I81" s="1"/>
  <c r="H102"/>
  <c r="I102" s="1"/>
  <c r="H123"/>
  <c r="I123" s="1"/>
  <c r="H145"/>
  <c r="I145" s="1"/>
  <c r="H161"/>
  <c r="I161" s="1"/>
  <c r="H177"/>
  <c r="I177" s="1"/>
  <c r="H193"/>
  <c r="I193" s="1"/>
  <c r="H209"/>
  <c r="I209" s="1"/>
  <c r="H225"/>
  <c r="I225" s="1"/>
  <c r="H241"/>
  <c r="I241" s="1"/>
  <c r="H257"/>
  <c r="I257" s="1"/>
  <c r="H273"/>
  <c r="I273" s="1"/>
  <c r="H289"/>
  <c r="I289" s="1"/>
  <c r="H305"/>
  <c r="I305" s="1"/>
  <c r="H321"/>
  <c r="I321" s="1"/>
  <c r="H337"/>
  <c r="I337" s="1"/>
  <c r="H61" i="51"/>
  <c r="H77"/>
  <c r="H93"/>
  <c r="H109"/>
  <c r="H125"/>
  <c r="H141"/>
  <c r="H157"/>
  <c r="H173"/>
  <c r="H189"/>
  <c r="H205"/>
  <c r="H221"/>
  <c r="H237"/>
  <c r="H253"/>
  <c r="H269"/>
  <c r="H285"/>
  <c r="H301"/>
  <c r="H317"/>
  <c r="H333"/>
  <c r="H349"/>
  <c r="H365"/>
  <c r="H381"/>
  <c r="H397"/>
  <c r="H413"/>
  <c r="H429"/>
  <c r="H445"/>
  <c r="H461"/>
  <c r="P76" i="52"/>
  <c r="R76" s="1"/>
  <c r="P107"/>
  <c r="R107" s="1"/>
  <c r="P171"/>
  <c r="R171" s="1"/>
  <c r="P195"/>
  <c r="R195" s="1"/>
  <c r="P48"/>
  <c r="R48" s="1"/>
  <c r="I23" i="55"/>
  <c r="K23" s="1"/>
  <c r="I48"/>
  <c r="K48" s="1"/>
  <c r="G16" i="54"/>
  <c r="I16" s="1"/>
  <c r="J16" s="1"/>
  <c r="L16" s="1"/>
  <c r="H27" i="53"/>
  <c r="I27" s="1"/>
  <c r="H49"/>
  <c r="I49" s="1"/>
  <c r="H70"/>
  <c r="I70" s="1"/>
  <c r="H91"/>
  <c r="I91" s="1"/>
  <c r="H113"/>
  <c r="I113" s="1"/>
  <c r="H134"/>
  <c r="I134" s="1"/>
  <c r="H153"/>
  <c r="I153" s="1"/>
  <c r="H169"/>
  <c r="I169" s="1"/>
  <c r="H185"/>
  <c r="I185" s="1"/>
  <c r="H201"/>
  <c r="I201" s="1"/>
  <c r="H217"/>
  <c r="I217" s="1"/>
  <c r="H233"/>
  <c r="I233" s="1"/>
  <c r="H249"/>
  <c r="I249" s="1"/>
  <c r="H265"/>
  <c r="I265" s="1"/>
  <c r="H281"/>
  <c r="I281" s="1"/>
  <c r="H297"/>
  <c r="I297" s="1"/>
  <c r="H313"/>
  <c r="I313" s="1"/>
  <c r="H329"/>
  <c r="I329" s="1"/>
  <c r="H53" i="51"/>
  <c r="H69"/>
  <c r="H85"/>
  <c r="H101"/>
  <c r="H117"/>
  <c r="H133"/>
  <c r="H149"/>
  <c r="H165"/>
  <c r="H181"/>
  <c r="H197"/>
  <c r="H213"/>
  <c r="H229"/>
  <c r="H245"/>
  <c r="H261"/>
  <c r="H277"/>
  <c r="H293"/>
  <c r="H309"/>
  <c r="H325"/>
  <c r="H341"/>
  <c r="H357"/>
  <c r="H373"/>
  <c r="H389"/>
  <c r="H405"/>
  <c r="H421"/>
  <c r="H437"/>
  <c r="H453"/>
  <c r="P45" i="52"/>
  <c r="R45" s="1"/>
  <c r="P72"/>
  <c r="R72" s="1"/>
  <c r="P103"/>
  <c r="R103" s="1"/>
  <c r="P163"/>
  <c r="R163" s="1"/>
  <c r="P227"/>
  <c r="R227" s="1"/>
  <c r="P229"/>
  <c r="R229" s="1"/>
  <c r="P138"/>
  <c r="R138" s="1"/>
  <c r="P79"/>
  <c r="R79" s="1"/>
  <c r="P18"/>
  <c r="R18" s="1"/>
  <c r="P169"/>
  <c r="R169" s="1"/>
  <c r="P51"/>
  <c r="R51" s="1"/>
  <c r="P19"/>
  <c r="R19" s="1"/>
  <c r="P225"/>
  <c r="R225" s="1"/>
  <c r="I29" i="55"/>
  <c r="K29" s="1"/>
  <c r="H97" i="53"/>
  <c r="I97" s="1"/>
  <c r="H173"/>
  <c r="I173" s="1"/>
  <c r="H237"/>
  <c r="I237" s="1"/>
  <c r="H301"/>
  <c r="I301" s="1"/>
  <c r="H73" i="51"/>
  <c r="H137"/>
  <c r="H201"/>
  <c r="H265"/>
  <c r="H329"/>
  <c r="H393"/>
  <c r="H457"/>
  <c r="P80" i="52"/>
  <c r="R80" s="1"/>
  <c r="P199"/>
  <c r="R199" s="1"/>
  <c r="P222"/>
  <c r="R222" s="1"/>
  <c r="P44"/>
  <c r="R44" s="1"/>
  <c r="P198"/>
  <c r="R198" s="1"/>
  <c r="P102"/>
  <c r="R102" s="1"/>
  <c r="H75" i="53"/>
  <c r="I75" s="1"/>
  <c r="H157"/>
  <c r="I157" s="1"/>
  <c r="H221"/>
  <c r="I221" s="1"/>
  <c r="H285"/>
  <c r="I285" s="1"/>
  <c r="H57" i="51"/>
  <c r="H121"/>
  <c r="H185"/>
  <c r="H249"/>
  <c r="H313"/>
  <c r="H377"/>
  <c r="H441"/>
  <c r="C133" i="59"/>
  <c r="P193" i="52"/>
  <c r="R193" s="1"/>
  <c r="P75"/>
  <c r="R75" s="1"/>
  <c r="P16"/>
  <c r="R16" s="1"/>
  <c r="P17"/>
  <c r="R17" s="1"/>
  <c r="H13" i="53"/>
  <c r="I80" i="55"/>
  <c r="K80" s="1"/>
  <c r="H54" i="53"/>
  <c r="I54" s="1"/>
  <c r="H139"/>
  <c r="I139" s="1"/>
  <c r="H205"/>
  <c r="I205" s="1"/>
  <c r="H269"/>
  <c r="I269" s="1"/>
  <c r="H333"/>
  <c r="I333" s="1"/>
  <c r="H105" i="51"/>
  <c r="H169"/>
  <c r="H233"/>
  <c r="H297"/>
  <c r="H361"/>
  <c r="H425"/>
  <c r="P196" i="52"/>
  <c r="R196" s="1"/>
  <c r="P106"/>
  <c r="R106" s="1"/>
  <c r="P15"/>
  <c r="R15" s="1"/>
  <c r="P201"/>
  <c r="R201" s="1"/>
  <c r="P140"/>
  <c r="R140" s="1"/>
  <c r="P109"/>
  <c r="R109" s="1"/>
  <c r="P20"/>
  <c r="R20" s="1"/>
  <c r="P110"/>
  <c r="R110" s="1"/>
  <c r="P21"/>
  <c r="R21" s="1"/>
  <c r="I55" i="55"/>
  <c r="K55" s="1"/>
  <c r="H33" i="53"/>
  <c r="I33" s="1"/>
  <c r="H118"/>
  <c r="I118" s="1"/>
  <c r="H189"/>
  <c r="I189" s="1"/>
  <c r="H253"/>
  <c r="I253" s="1"/>
  <c r="H317"/>
  <c r="I317" s="1"/>
  <c r="H89" i="51"/>
  <c r="H153"/>
  <c r="H217"/>
  <c r="H281"/>
  <c r="H345"/>
  <c r="H409"/>
  <c r="P134" i="52"/>
  <c r="R134" s="1"/>
  <c r="P12"/>
  <c r="P137"/>
  <c r="R137" s="1"/>
  <c r="P47"/>
  <c r="R47" s="1"/>
  <c r="AZ11" i="46"/>
  <c r="BA11" s="1"/>
  <c r="J16" i="59"/>
  <c r="P167" i="52"/>
  <c r="R167" s="1"/>
  <c r="H132" i="50"/>
  <c r="J132" s="1"/>
  <c r="L132" s="1"/>
  <c r="N132" s="1"/>
  <c r="H322"/>
  <c r="J322" s="1"/>
  <c r="L322" s="1"/>
  <c r="N322" s="1"/>
  <c r="H306"/>
  <c r="J306" s="1"/>
  <c r="L306" s="1"/>
  <c r="N306" s="1"/>
  <c r="H290"/>
  <c r="J290" s="1"/>
  <c r="L290" s="1"/>
  <c r="N290" s="1"/>
  <c r="H274"/>
  <c r="J274" s="1"/>
  <c r="L274" s="1"/>
  <c r="N274" s="1"/>
  <c r="H242"/>
  <c r="J242" s="1"/>
  <c r="L242" s="1"/>
  <c r="N242" s="1"/>
  <c r="H226"/>
  <c r="J226" s="1"/>
  <c r="L226" s="1"/>
  <c r="N226" s="1"/>
  <c r="H210"/>
  <c r="J210" s="1"/>
  <c r="L210" s="1"/>
  <c r="N210" s="1"/>
  <c r="H194"/>
  <c r="J194" s="1"/>
  <c r="L194" s="1"/>
  <c r="N194" s="1"/>
  <c r="H162"/>
  <c r="J162" s="1"/>
  <c r="L162" s="1"/>
  <c r="N162" s="1"/>
  <c r="H146"/>
  <c r="J146" s="1"/>
  <c r="L146" s="1"/>
  <c r="N146" s="1"/>
  <c r="H114"/>
  <c r="J114" s="1"/>
  <c r="L114" s="1"/>
  <c r="N114" s="1"/>
  <c r="H98"/>
  <c r="J98" s="1"/>
  <c r="L98" s="1"/>
  <c r="N98" s="1"/>
  <c r="H66"/>
  <c r="J66" s="1"/>
  <c r="L66" s="1"/>
  <c r="N66" s="1"/>
  <c r="H50"/>
  <c r="J50" s="1"/>
  <c r="L50" s="1"/>
  <c r="N50" s="1"/>
  <c r="G67" i="54"/>
  <c r="J67" s="1"/>
  <c r="G51"/>
  <c r="J51" s="1"/>
  <c r="H121" i="50"/>
  <c r="J121" s="1"/>
  <c r="L121" s="1"/>
  <c r="N121" s="1"/>
  <c r="H128"/>
  <c r="J128" s="1"/>
  <c r="L128" s="1"/>
  <c r="N128" s="1"/>
  <c r="H326"/>
  <c r="J326" s="1"/>
  <c r="L326" s="1"/>
  <c r="N326" s="1"/>
  <c r="H310"/>
  <c r="J310" s="1"/>
  <c r="L310" s="1"/>
  <c r="N310" s="1"/>
  <c r="H294"/>
  <c r="J294" s="1"/>
  <c r="L294" s="1"/>
  <c r="N294" s="1"/>
  <c r="H278"/>
  <c r="J278" s="1"/>
  <c r="L278" s="1"/>
  <c r="N278" s="1"/>
  <c r="H262"/>
  <c r="J262" s="1"/>
  <c r="L262" s="1"/>
  <c r="N262" s="1"/>
  <c r="H246"/>
  <c r="J246" s="1"/>
  <c r="L246" s="1"/>
  <c r="N246" s="1"/>
  <c r="H230"/>
  <c r="J230" s="1"/>
  <c r="L230" s="1"/>
  <c r="N230" s="1"/>
  <c r="H214"/>
  <c r="J214" s="1"/>
  <c r="L214" s="1"/>
  <c r="N214" s="1"/>
  <c r="H198"/>
  <c r="J198" s="1"/>
  <c r="L198" s="1"/>
  <c r="N198" s="1"/>
  <c r="H182"/>
  <c r="J182" s="1"/>
  <c r="L182" s="1"/>
  <c r="N182" s="1"/>
  <c r="H166"/>
  <c r="J166" s="1"/>
  <c r="L166" s="1"/>
  <c r="N166" s="1"/>
  <c r="H150"/>
  <c r="J150" s="1"/>
  <c r="L150" s="1"/>
  <c r="N150" s="1"/>
  <c r="H134"/>
  <c r="J134" s="1"/>
  <c r="L134" s="1"/>
  <c r="N134" s="1"/>
  <c r="H118"/>
  <c r="J118" s="1"/>
  <c r="L118" s="1"/>
  <c r="N118" s="1"/>
  <c r="H102"/>
  <c r="J102" s="1"/>
  <c r="L102" s="1"/>
  <c r="N102" s="1"/>
  <c r="H86"/>
  <c r="J86" s="1"/>
  <c r="L86" s="1"/>
  <c r="N86" s="1"/>
  <c r="H70"/>
  <c r="J70" s="1"/>
  <c r="L70" s="1"/>
  <c r="N70" s="1"/>
  <c r="H54"/>
  <c r="J54" s="1"/>
  <c r="L54" s="1"/>
  <c r="N54" s="1"/>
  <c r="H38"/>
  <c r="J38" s="1"/>
  <c r="L38" s="1"/>
  <c r="N38" s="1"/>
  <c r="G71" i="54"/>
  <c r="J71" s="1"/>
  <c r="G55"/>
  <c r="J55" s="1"/>
  <c r="G39"/>
  <c r="J39" s="1"/>
  <c r="H125" i="50"/>
  <c r="J125" s="1"/>
  <c r="L125" s="1"/>
  <c r="N125" s="1"/>
  <c r="H109"/>
  <c r="J109" s="1"/>
  <c r="L109" s="1"/>
  <c r="N109" s="1"/>
  <c r="H93"/>
  <c r="J93" s="1"/>
  <c r="L93" s="1"/>
  <c r="N93" s="1"/>
  <c r="H77"/>
  <c r="J77" s="1"/>
  <c r="L77" s="1"/>
  <c r="N77" s="1"/>
  <c r="H61"/>
  <c r="J61" s="1"/>
  <c r="L61" s="1"/>
  <c r="N61" s="1"/>
  <c r="H45"/>
  <c r="J45" s="1"/>
  <c r="L45" s="1"/>
  <c r="N45" s="1"/>
  <c r="H32"/>
  <c r="J32" s="1"/>
  <c r="L32" s="1"/>
  <c r="N32" s="1"/>
  <c r="H28"/>
  <c r="J28" s="1"/>
  <c r="L28" s="1"/>
  <c r="N28" s="1"/>
  <c r="H24"/>
  <c r="J24" s="1"/>
  <c r="L24" s="1"/>
  <c r="N24" s="1"/>
  <c r="H20"/>
  <c r="J20" s="1"/>
  <c r="L20" s="1"/>
  <c r="N20" s="1"/>
  <c r="H16"/>
  <c r="J16" s="1"/>
  <c r="L16" s="1"/>
  <c r="N16" s="1"/>
  <c r="G18" i="54"/>
  <c r="I18" s="1"/>
  <c r="J18" s="1"/>
  <c r="L18" s="1"/>
  <c r="G60"/>
  <c r="J60" s="1"/>
  <c r="G44"/>
  <c r="J44" s="1"/>
  <c r="G28"/>
  <c r="J28" s="1"/>
  <c r="H108" i="50"/>
  <c r="J108" s="1"/>
  <c r="L108" s="1"/>
  <c r="N108" s="1"/>
  <c r="H92"/>
  <c r="J92" s="1"/>
  <c r="L92" s="1"/>
  <c r="N92" s="1"/>
  <c r="H76"/>
  <c r="J76" s="1"/>
  <c r="L76" s="1"/>
  <c r="N76" s="1"/>
  <c r="H60"/>
  <c r="J60" s="1"/>
  <c r="L60" s="1"/>
  <c r="N60" s="1"/>
  <c r="H44"/>
  <c r="J44" s="1"/>
  <c r="L44" s="1"/>
  <c r="N44" s="1"/>
  <c r="G23" i="54"/>
  <c r="I23" s="1"/>
  <c r="J23" s="1"/>
  <c r="L23" s="1"/>
  <c r="G65"/>
  <c r="J65" s="1"/>
  <c r="G49"/>
  <c r="J49" s="1"/>
  <c r="G33"/>
  <c r="J33" s="1"/>
  <c r="H123" i="50"/>
  <c r="J123" s="1"/>
  <c r="L123" s="1"/>
  <c r="N123" s="1"/>
  <c r="H107"/>
  <c r="J107" s="1"/>
  <c r="L107" s="1"/>
  <c r="N107" s="1"/>
  <c r="H91"/>
  <c r="J91" s="1"/>
  <c r="L91" s="1"/>
  <c r="N91" s="1"/>
  <c r="H75"/>
  <c r="J75" s="1"/>
  <c r="L75" s="1"/>
  <c r="N75" s="1"/>
  <c r="H59"/>
  <c r="J59" s="1"/>
  <c r="L59" s="1"/>
  <c r="N59" s="1"/>
  <c r="H43"/>
  <c r="J43" s="1"/>
  <c r="L43" s="1"/>
  <c r="N43" s="1"/>
  <c r="G20" i="54"/>
  <c r="I20" s="1"/>
  <c r="J20" s="1"/>
  <c r="L20" s="1"/>
  <c r="G62"/>
  <c r="J62" s="1"/>
  <c r="G46"/>
  <c r="J46" s="1"/>
  <c r="G30"/>
  <c r="J30" s="1"/>
  <c r="P104" i="52"/>
  <c r="L42" i="59"/>
  <c r="G78"/>
  <c r="G97" s="1"/>
  <c r="P133" i="52"/>
  <c r="R133" s="1"/>
  <c r="P231"/>
  <c r="R231" s="1"/>
  <c r="P81"/>
  <c r="R81" s="1"/>
  <c r="AJ27" i="47"/>
  <c r="AP27" s="1"/>
  <c r="AZ27"/>
  <c r="BF27" s="1"/>
  <c r="BP27"/>
  <c r="BV27" s="1"/>
  <c r="BX22"/>
  <c r="AZ22"/>
  <c r="BF22" s="1"/>
  <c r="BH22"/>
  <c r="BN22" s="1"/>
  <c r="BP22"/>
  <c r="BV22" s="1"/>
  <c r="AR22"/>
  <c r="AX22" s="1"/>
  <c r="P194" i="52"/>
  <c r="R194" s="1"/>
  <c r="P108"/>
  <c r="R108" s="1"/>
  <c r="P224"/>
  <c r="R224" s="1"/>
  <c r="P223"/>
  <c r="R223" s="1"/>
  <c r="P50"/>
  <c r="R50" s="1"/>
  <c r="P170"/>
  <c r="R170" s="1"/>
  <c r="R173" s="1"/>
  <c r="N13" i="50"/>
  <c r="F34" i="47"/>
  <c r="AB34"/>
  <c r="BX10"/>
  <c r="AJ10"/>
  <c r="AP10" s="1"/>
  <c r="AZ10"/>
  <c r="BF10" s="1"/>
  <c r="AH10"/>
  <c r="AR10"/>
  <c r="AX10" s="1"/>
  <c r="BH10"/>
  <c r="BN10" s="1"/>
  <c r="BP10"/>
  <c r="BV10" s="1"/>
  <c r="BH39"/>
  <c r="BN39" s="1"/>
  <c r="AR39"/>
  <c r="AX39" s="1"/>
  <c r="AH39"/>
  <c r="BX39"/>
  <c r="BP39"/>
  <c r="BV39" s="1"/>
  <c r="AJ39"/>
  <c r="AP39" s="1"/>
  <c r="AZ39"/>
  <c r="BF39" s="1"/>
  <c r="AY28" i="46"/>
  <c r="BB28" s="1"/>
  <c r="BD28" s="1"/>
  <c r="BF28" s="1"/>
  <c r="Z41" i="47"/>
  <c r="H18" i="59"/>
  <c r="R29" i="47"/>
  <c r="R39"/>
  <c r="AB15"/>
  <c r="F15"/>
  <c r="Z15" s="1"/>
  <c r="AY12" i="46"/>
  <c r="AB9" i="47"/>
  <c r="F9"/>
  <c r="AB32"/>
  <c r="F32"/>
  <c r="AY45" i="46"/>
  <c r="BB45" s="1"/>
  <c r="BD45" s="1"/>
  <c r="BF45" s="1"/>
  <c r="F42" i="47"/>
  <c r="AB42"/>
  <c r="BX48"/>
  <c r="AJ48"/>
  <c r="AP48" s="1"/>
  <c r="AZ48"/>
  <c r="BF48" s="1"/>
  <c r="AH48"/>
  <c r="AR48"/>
  <c r="AX48" s="1"/>
  <c r="BH48"/>
  <c r="BN48" s="1"/>
  <c r="BP48"/>
  <c r="BV48" s="1"/>
  <c r="AB18"/>
  <c r="F18"/>
  <c r="Z18" s="1"/>
  <c r="P173" i="52"/>
  <c r="R104"/>
  <c r="Z56" i="46"/>
  <c r="H15" i="58" s="1"/>
  <c r="R46" i="52"/>
  <c r="AY21" i="46"/>
  <c r="BB21" s="1"/>
  <c r="BD21" s="1"/>
  <c r="BF21" s="1"/>
  <c r="BL12"/>
  <c r="BP12"/>
  <c r="O34" i="60"/>
  <c r="O20"/>
  <c r="O45" s="1"/>
  <c r="AG13" i="46"/>
  <c r="AF56" s="1"/>
  <c r="BL13"/>
  <c r="BP13" s="1"/>
  <c r="BN13"/>
  <c r="BR13" s="1"/>
  <c r="AZ13"/>
  <c r="BA13" s="1"/>
  <c r="CC14"/>
  <c r="CB14"/>
  <c r="AB21" i="47"/>
  <c r="AY24" i="46"/>
  <c r="BB24" s="1"/>
  <c r="BD24" s="1"/>
  <c r="BF24" s="1"/>
  <c r="F21" i="47"/>
  <c r="BX13"/>
  <c r="AZ13"/>
  <c r="BF13" s="1"/>
  <c r="AR13"/>
  <c r="AX13" s="1"/>
  <c r="AH13"/>
  <c r="BH13"/>
  <c r="BN13" s="1"/>
  <c r="AJ13"/>
  <c r="AP13" s="1"/>
  <c r="BP13"/>
  <c r="BV13" s="1"/>
  <c r="F20"/>
  <c r="AY23" i="46"/>
  <c r="BB23" s="1"/>
  <c r="BD23" s="1"/>
  <c r="BF23" s="1"/>
  <c r="AB20" i="47"/>
  <c r="AB37"/>
  <c r="F37"/>
  <c r="S27" i="51"/>
  <c r="Q28"/>
  <c r="AD56" i="46"/>
  <c r="BX14"/>
  <c r="J19" i="59"/>
  <c r="BY14" i="46"/>
  <c r="AV14"/>
  <c r="AS14"/>
  <c r="AR56" s="1"/>
  <c r="I45" i="56"/>
  <c r="I43"/>
  <c r="I47" s="1"/>
  <c r="B183" i="59" s="1"/>
  <c r="F25" i="47"/>
  <c r="AB25"/>
  <c r="K7" i="55"/>
  <c r="O19" i="60"/>
  <c r="O44" s="1"/>
  <c r="L18" i="59"/>
  <c r="P55" i="48"/>
  <c r="R228" i="52"/>
  <c r="R233" s="1"/>
  <c r="L19" i="59"/>
  <c r="L47"/>
  <c r="L59"/>
  <c r="R15" i="47"/>
  <c r="AY37" i="46"/>
  <c r="BB37" s="1"/>
  <c r="BD37" s="1"/>
  <c r="BF37" s="1"/>
  <c r="S16" i="51" l="1"/>
  <c r="O16"/>
  <c r="O20"/>
  <c r="S20"/>
  <c r="S24"/>
  <c r="O24"/>
  <c r="S15"/>
  <c r="O15"/>
  <c r="O22"/>
  <c r="S22"/>
  <c r="BD11" i="46"/>
  <c r="BF11" s="1"/>
  <c r="BB11"/>
  <c r="O18" i="51"/>
  <c r="S18"/>
  <c r="O26"/>
  <c r="S26"/>
  <c r="L10" i="50"/>
  <c r="P45" i="58" s="1"/>
  <c r="L6" i="54"/>
  <c r="L157" i="59" s="1"/>
  <c r="P71" i="58" s="1"/>
  <c r="B185" i="59"/>
  <c r="P53" i="52"/>
  <c r="M13" i="53"/>
  <c r="O13" s="1"/>
  <c r="O8" s="1"/>
  <c r="P49" i="58" s="1"/>
  <c r="L114" i="59" s="1"/>
  <c r="C114" s="1"/>
  <c r="I13" i="53"/>
  <c r="R132" i="52"/>
  <c r="P143"/>
  <c r="S21" i="51"/>
  <c r="O21"/>
  <c r="S19"/>
  <c r="O19"/>
  <c r="O23"/>
  <c r="S23"/>
  <c r="P23" i="52"/>
  <c r="R12"/>
  <c r="R23" s="1"/>
  <c r="R31" s="1"/>
  <c r="Q13" i="53" s="1"/>
  <c r="S13" s="1"/>
  <c r="S8" s="1"/>
  <c r="O14" i="51"/>
  <c r="S14"/>
  <c r="S25"/>
  <c r="O25"/>
  <c r="M8"/>
  <c r="O13"/>
  <c r="S13"/>
  <c r="O17"/>
  <c r="S17"/>
  <c r="R192" i="52"/>
  <c r="R203" s="1"/>
  <c r="P203"/>
  <c r="R113"/>
  <c r="P83"/>
  <c r="P113"/>
  <c r="R53"/>
  <c r="R143"/>
  <c r="L8" i="54"/>
  <c r="P233" i="52"/>
  <c r="Q29" i="51"/>
  <c r="S28"/>
  <c r="R37" i="47"/>
  <c r="Z37"/>
  <c r="Z20"/>
  <c r="R20"/>
  <c r="R21"/>
  <c r="Z21"/>
  <c r="Z32"/>
  <c r="R32"/>
  <c r="BG12" i="46"/>
  <c r="BX34" i="47"/>
  <c r="AJ34"/>
  <c r="AP34" s="1"/>
  <c r="AZ34"/>
  <c r="BF34" s="1"/>
  <c r="AH34"/>
  <c r="BH34"/>
  <c r="BN34" s="1"/>
  <c r="BP34"/>
  <c r="BV34" s="1"/>
  <c r="AR34"/>
  <c r="AX34" s="1"/>
  <c r="BH9"/>
  <c r="AR9"/>
  <c r="AH9"/>
  <c r="AZ9"/>
  <c r="BX9"/>
  <c r="AJ9"/>
  <c r="BP9"/>
  <c r="AB53"/>
  <c r="AB52" s="1"/>
  <c r="AJ52" s="1"/>
  <c r="AP52" s="1"/>
  <c r="BX15"/>
  <c r="BH15"/>
  <c r="BN15" s="1"/>
  <c r="AR15"/>
  <c r="AX15" s="1"/>
  <c r="AH15"/>
  <c r="BP15"/>
  <c r="BV15" s="1"/>
  <c r="AJ15"/>
  <c r="AP15" s="1"/>
  <c r="AZ15"/>
  <c r="BF15" s="1"/>
  <c r="L116" i="59"/>
  <c r="C116" s="1"/>
  <c r="P55" i="58"/>
  <c r="R25" i="47"/>
  <c r="Z25"/>
  <c r="AY14" i="46"/>
  <c r="BB14" s="1"/>
  <c r="BD14" s="1"/>
  <c r="BF14" s="1"/>
  <c r="AB11" i="47"/>
  <c r="F11"/>
  <c r="F53" s="1"/>
  <c r="BX20"/>
  <c r="BH20"/>
  <c r="BN20" s="1"/>
  <c r="AR20"/>
  <c r="AX20" s="1"/>
  <c r="AH20"/>
  <c r="AZ20"/>
  <c r="BF20" s="1"/>
  <c r="AJ20"/>
  <c r="AP20" s="1"/>
  <c r="BP20"/>
  <c r="BV20" s="1"/>
  <c r="BH21"/>
  <c r="BN21" s="1"/>
  <c r="AJ21"/>
  <c r="AP21" s="1"/>
  <c r="BP21"/>
  <c r="BV21" s="1"/>
  <c r="BX21"/>
  <c r="AR21"/>
  <c r="AX21" s="1"/>
  <c r="AZ21"/>
  <c r="BF21" s="1"/>
  <c r="AH21"/>
  <c r="Z42"/>
  <c r="R42"/>
  <c r="R9"/>
  <c r="Z9"/>
  <c r="J15" i="58"/>
  <c r="R18" i="47"/>
  <c r="BX25"/>
  <c r="AR25"/>
  <c r="AX25" s="1"/>
  <c r="AZ25"/>
  <c r="BF25" s="1"/>
  <c r="AH25"/>
  <c r="AJ25"/>
  <c r="AP25" s="1"/>
  <c r="BP25"/>
  <c r="BV25" s="1"/>
  <c r="BH25"/>
  <c r="BN25" s="1"/>
  <c r="BH37"/>
  <c r="BN37" s="1"/>
  <c r="AJ37"/>
  <c r="AP37" s="1"/>
  <c r="BP37"/>
  <c r="BV37" s="1"/>
  <c r="BX37"/>
  <c r="AZ37"/>
  <c r="BF37" s="1"/>
  <c r="AH37"/>
  <c r="AR37"/>
  <c r="AX37" s="1"/>
  <c r="BD13" i="46"/>
  <c r="BF13" s="1"/>
  <c r="BB13"/>
  <c r="BX18" i="47"/>
  <c r="BH18"/>
  <c r="BN18" s="1"/>
  <c r="AR18"/>
  <c r="AX18" s="1"/>
  <c r="BP18"/>
  <c r="BV18" s="1"/>
  <c r="AJ18"/>
  <c r="AP18" s="1"/>
  <c r="AH18"/>
  <c r="AZ18"/>
  <c r="BF18" s="1"/>
  <c r="AJ42"/>
  <c r="AP42" s="1"/>
  <c r="BH42"/>
  <c r="BN42" s="1"/>
  <c r="AZ42"/>
  <c r="BF42" s="1"/>
  <c r="BX42"/>
  <c r="AR42"/>
  <c r="AX42" s="1"/>
  <c r="AH42"/>
  <c r="BP42"/>
  <c r="BV42" s="1"/>
  <c r="BP32"/>
  <c r="BV32" s="1"/>
  <c r="AJ32"/>
  <c r="AP32" s="1"/>
  <c r="BH32"/>
  <c r="BN32" s="1"/>
  <c r="AZ32"/>
  <c r="BF32" s="1"/>
  <c r="AR32"/>
  <c r="AX32" s="1"/>
  <c r="AH32"/>
  <c r="BX32"/>
  <c r="Z34"/>
  <c r="R34"/>
  <c r="AV56" i="46"/>
  <c r="F61" i="59" s="1"/>
  <c r="L115" l="1"/>
  <c r="C115" s="1"/>
  <c r="P53" i="58"/>
  <c r="N10" i="50"/>
  <c r="O8" i="51"/>
  <c r="D52" i="47"/>
  <c r="F52" s="1"/>
  <c r="BF9"/>
  <c r="AZ12" i="46"/>
  <c r="BA12" s="1"/>
  <c r="J17" i="59"/>
  <c r="L17" s="1"/>
  <c r="L61" s="1"/>
  <c r="BH11" i="47"/>
  <c r="BN11" s="1"/>
  <c r="BX11"/>
  <c r="BX53" s="1"/>
  <c r="AC52" s="1"/>
  <c r="AR11"/>
  <c r="AX11" s="1"/>
  <c r="AH11"/>
  <c r="AJ11"/>
  <c r="AP11" s="1"/>
  <c r="AZ11"/>
  <c r="BF11" s="1"/>
  <c r="BP11"/>
  <c r="BV11" s="1"/>
  <c r="G61" i="59"/>
  <c r="C17" i="58"/>
  <c r="C164" i="59"/>
  <c r="Z11" i="47"/>
  <c r="R11"/>
  <c r="AP9"/>
  <c r="AP4" s="1"/>
  <c r="AJ53"/>
  <c r="AX9"/>
  <c r="S29" i="51"/>
  <c r="Q30"/>
  <c r="BN9" i="47"/>
  <c r="BH53"/>
  <c r="BH52" s="1"/>
  <c r="BN52" s="1"/>
  <c r="L111" i="59"/>
  <c r="C111" s="1"/>
  <c r="BV9" i="47"/>
  <c r="BP53"/>
  <c r="BP52" s="1"/>
  <c r="BV52" s="1"/>
  <c r="AX56" i="46"/>
  <c r="Z52" i="47" l="1"/>
  <c r="Z4" s="1"/>
  <c r="R52"/>
  <c r="R4" s="1"/>
  <c r="P33" i="58" s="1"/>
  <c r="L105" i="59" s="1"/>
  <c r="C105" s="1"/>
  <c r="L112"/>
  <c r="C112" s="1"/>
  <c r="P47" i="58"/>
  <c r="AR53" i="47"/>
  <c r="AR52" s="1"/>
  <c r="AX52" s="1"/>
  <c r="AX4" s="1"/>
  <c r="BV4"/>
  <c r="P57" i="58" s="1"/>
  <c r="N57" s="1"/>
  <c r="N17"/>
  <c r="P17"/>
  <c r="L63" i="59"/>
  <c r="C63" s="1"/>
  <c r="N15" i="58"/>
  <c r="P15" s="1"/>
  <c r="L108" i="59"/>
  <c r="C108" s="1"/>
  <c r="P39" i="58"/>
  <c r="N39" s="1"/>
  <c r="AF52" i="47"/>
  <c r="AH52" s="1"/>
  <c r="AH4" s="1"/>
  <c r="S30" i="51"/>
  <c r="Q31"/>
  <c r="F164" i="59"/>
  <c r="D164"/>
  <c r="BN4" i="47"/>
  <c r="P43" i="58" s="1"/>
  <c r="AZ53" i="47"/>
  <c r="AZ52" s="1"/>
  <c r="BF52" s="1"/>
  <c r="BF4" s="1"/>
  <c r="L117" i="59"/>
  <c r="C117" s="1"/>
  <c r="L103"/>
  <c r="P29" i="58"/>
  <c r="BB12" i="46"/>
  <c r="BD12" s="1"/>
  <c r="BF12" s="1"/>
  <c r="BF56" s="1"/>
  <c r="AZ56"/>
  <c r="L65" i="59"/>
  <c r="F145"/>
  <c r="H145" s="1"/>
  <c r="L107" l="1"/>
  <c r="C107" s="1"/>
  <c r="P37" i="58"/>
  <c r="L109" i="59"/>
  <c r="C109" s="1"/>
  <c r="P41" i="58"/>
  <c r="N41" s="1"/>
  <c r="S31" i="51"/>
  <c r="Q32"/>
  <c r="P19" i="58"/>
  <c r="L110" i="59"/>
  <c r="C110" s="1"/>
  <c r="N43" i="58"/>
  <c r="L104" i="59"/>
  <c r="C104" s="1"/>
  <c r="P31" i="58"/>
  <c r="N31" s="1"/>
  <c r="C103" i="59"/>
  <c r="L80"/>
  <c r="L77"/>
  <c r="L85"/>
  <c r="L86"/>
  <c r="L82"/>
  <c r="L72"/>
  <c r="L84"/>
  <c r="L74"/>
  <c r="L75"/>
  <c r="L90"/>
  <c r="L95"/>
  <c r="L96" s="1"/>
  <c r="L92"/>
  <c r="L76"/>
  <c r="L91"/>
  <c r="E44" i="60"/>
  <c r="L87" i="59"/>
  <c r="L70"/>
  <c r="L71"/>
  <c r="L83"/>
  <c r="L81"/>
  <c r="L73"/>
  <c r="L98"/>
  <c r="I143"/>
  <c r="L145" s="1"/>
  <c r="P69" i="58" l="1"/>
  <c r="L146" i="59"/>
  <c r="E8"/>
  <c r="L78"/>
  <c r="L88"/>
  <c r="P21" i="58"/>
  <c r="E16" i="60"/>
  <c r="E41" s="1"/>
  <c r="L93" i="59"/>
  <c r="S32" i="51"/>
  <c r="Q33"/>
  <c r="P23" i="58" l="1"/>
  <c r="S33" i="51"/>
  <c r="Q34"/>
  <c r="S34" l="1"/>
  <c r="Q35"/>
  <c r="S35" l="1"/>
  <c r="Q36"/>
  <c r="Q37" l="1"/>
  <c r="S36"/>
  <c r="S37" l="1"/>
  <c r="Q38"/>
  <c r="S38" l="1"/>
  <c r="Q39"/>
  <c r="S39" l="1"/>
  <c r="Q40"/>
  <c r="S40" l="1"/>
  <c r="Q41"/>
  <c r="S41" l="1"/>
  <c r="Q42"/>
  <c r="S42" l="1"/>
  <c r="Q43"/>
  <c r="S43" l="1"/>
  <c r="Q44"/>
  <c r="Q45" l="1"/>
  <c r="S44"/>
  <c r="S45" l="1"/>
  <c r="Q46"/>
  <c r="S46" l="1"/>
  <c r="Q47"/>
  <c r="Q48" l="1"/>
  <c r="S47"/>
  <c r="Q49" l="1"/>
  <c r="S48"/>
  <c r="S49" l="1"/>
  <c r="Q50"/>
  <c r="Q51" l="1"/>
  <c r="S50"/>
  <c r="S51" l="1"/>
  <c r="Q52"/>
  <c r="Q53" l="1"/>
  <c r="S52"/>
  <c r="S53" l="1"/>
  <c r="Q54"/>
  <c r="Q55" l="1"/>
  <c r="S54"/>
  <c r="Q56" l="1"/>
  <c r="S55"/>
  <c r="Q57" l="1"/>
  <c r="S56"/>
  <c r="S57" l="1"/>
  <c r="Q58"/>
  <c r="Q59" l="1"/>
  <c r="S58"/>
  <c r="S59" l="1"/>
  <c r="Q60"/>
  <c r="Q61" l="1"/>
  <c r="S60"/>
  <c r="S61" l="1"/>
  <c r="Q62"/>
  <c r="Q63" l="1"/>
  <c r="S62"/>
  <c r="Q64" l="1"/>
  <c r="S63"/>
  <c r="Q65" l="1"/>
  <c r="S64"/>
  <c r="S65" l="1"/>
  <c r="Q66"/>
  <c r="Q67" l="1"/>
  <c r="S66"/>
  <c r="S67" l="1"/>
  <c r="Q68"/>
  <c r="Q69" l="1"/>
  <c r="S68"/>
  <c r="S69" l="1"/>
  <c r="Q70"/>
  <c r="Q71" l="1"/>
  <c r="S70"/>
  <c r="Q72" l="1"/>
  <c r="S71"/>
  <c r="Q73" l="1"/>
  <c r="S72"/>
  <c r="S73" l="1"/>
  <c r="Q74"/>
  <c r="Q75" l="1"/>
  <c r="S74"/>
  <c r="S75" l="1"/>
  <c r="Q76"/>
  <c r="Q77" l="1"/>
  <c r="S76"/>
  <c r="S77" l="1"/>
  <c r="Q78"/>
  <c r="Q79" l="1"/>
  <c r="S78"/>
  <c r="Q80" l="1"/>
  <c r="S79"/>
  <c r="Q81" l="1"/>
  <c r="S80"/>
  <c r="S81" l="1"/>
  <c r="Q82"/>
  <c r="Q83" l="1"/>
  <c r="S82"/>
  <c r="S83" l="1"/>
  <c r="Q84"/>
  <c r="Q85" l="1"/>
  <c r="S84"/>
  <c r="S85" l="1"/>
  <c r="Q86"/>
  <c r="Q87" l="1"/>
  <c r="S86"/>
  <c r="Q88" l="1"/>
  <c r="S87"/>
  <c r="Q89" l="1"/>
  <c r="S88"/>
  <c r="S89" l="1"/>
  <c r="Q90"/>
  <c r="Q91" l="1"/>
  <c r="S90"/>
  <c r="S91" l="1"/>
  <c r="Q92"/>
  <c r="Q93" l="1"/>
  <c r="S92"/>
  <c r="S93" l="1"/>
  <c r="Q94"/>
  <c r="Q95" l="1"/>
  <c r="S94"/>
  <c r="Q96" l="1"/>
  <c r="S95"/>
  <c r="Q97" l="1"/>
  <c r="S96"/>
  <c r="S97" l="1"/>
  <c r="Q98"/>
  <c r="Q99" l="1"/>
  <c r="S98"/>
  <c r="S99" l="1"/>
  <c r="Q100"/>
  <c r="Q101" l="1"/>
  <c r="S100"/>
  <c r="S101" l="1"/>
  <c r="Q102"/>
  <c r="Q103" l="1"/>
  <c r="S102"/>
  <c r="Q104" l="1"/>
  <c r="S103"/>
  <c r="Q105" l="1"/>
  <c r="S104"/>
  <c r="Q106" l="1"/>
  <c r="S105"/>
  <c r="Q107" l="1"/>
  <c r="S106"/>
  <c r="S107" l="1"/>
  <c r="Q108"/>
  <c r="Q109" l="1"/>
  <c r="S108"/>
  <c r="S109" l="1"/>
  <c r="Q110"/>
  <c r="Q111" l="1"/>
  <c r="S110"/>
  <c r="Q112" l="1"/>
  <c r="S111"/>
  <c r="Q113" l="1"/>
  <c r="S112"/>
  <c r="Q114" l="1"/>
  <c r="S113"/>
  <c r="Q115" l="1"/>
  <c r="S114"/>
  <c r="S115" l="1"/>
  <c r="Q116"/>
  <c r="Q117" l="1"/>
  <c r="S116"/>
  <c r="S117" l="1"/>
  <c r="Q118"/>
  <c r="Q119" l="1"/>
  <c r="S118"/>
  <c r="Q120" l="1"/>
  <c r="S119"/>
  <c r="Q121" l="1"/>
  <c r="S120"/>
  <c r="Q122" l="1"/>
  <c r="S121"/>
  <c r="Q123" l="1"/>
  <c r="S122"/>
  <c r="S123" l="1"/>
  <c r="Q124"/>
  <c r="Q125" l="1"/>
  <c r="S124"/>
  <c r="S125" l="1"/>
  <c r="Q126"/>
  <c r="Q127" l="1"/>
  <c r="S126"/>
  <c r="Q128" l="1"/>
  <c r="S127"/>
  <c r="Q129" l="1"/>
  <c r="S128"/>
  <c r="Q130" l="1"/>
  <c r="S129"/>
  <c r="Q131" l="1"/>
  <c r="S130"/>
  <c r="S131" l="1"/>
  <c r="Q132"/>
  <c r="Q133" l="1"/>
  <c r="S132"/>
  <c r="S133" l="1"/>
  <c r="Q134"/>
  <c r="Q135" l="1"/>
  <c r="S134"/>
  <c r="Q136" l="1"/>
  <c r="S135"/>
  <c r="Q137" l="1"/>
  <c r="S136"/>
  <c r="Q138" l="1"/>
  <c r="S137"/>
  <c r="Q139" l="1"/>
  <c r="S138"/>
  <c r="S139" l="1"/>
  <c r="Q140"/>
  <c r="Q141" l="1"/>
  <c r="S140"/>
  <c r="S141" l="1"/>
  <c r="Q142"/>
  <c r="Q143" l="1"/>
  <c r="S142"/>
  <c r="Q144" l="1"/>
  <c r="S143"/>
  <c r="Q145" l="1"/>
  <c r="S144"/>
  <c r="Q146" l="1"/>
  <c r="S145"/>
  <c r="Q147" l="1"/>
  <c r="S146"/>
  <c r="S147" l="1"/>
  <c r="Q148"/>
  <c r="Q149" l="1"/>
  <c r="S148"/>
  <c r="S149" l="1"/>
  <c r="Q150"/>
  <c r="Q151" l="1"/>
  <c r="S150"/>
  <c r="Q152" l="1"/>
  <c r="S151"/>
  <c r="Q153" l="1"/>
  <c r="S152"/>
  <c r="Q154" l="1"/>
  <c r="S153"/>
  <c r="Q155" l="1"/>
  <c r="S154"/>
  <c r="S155" l="1"/>
  <c r="Q156"/>
  <c r="Q157" l="1"/>
  <c r="S156"/>
  <c r="S157" l="1"/>
  <c r="Q158"/>
  <c r="Q159" l="1"/>
  <c r="S158"/>
  <c r="Q160" l="1"/>
  <c r="S159"/>
  <c r="Q161" l="1"/>
  <c r="S160"/>
  <c r="Q162" l="1"/>
  <c r="S161"/>
  <c r="Q163" l="1"/>
  <c r="S162"/>
  <c r="S163" l="1"/>
  <c r="Q164"/>
  <c r="Q165" l="1"/>
  <c r="S164"/>
  <c r="S165" l="1"/>
  <c r="Q166"/>
  <c r="Q167" l="1"/>
  <c r="S166"/>
  <c r="Q168" l="1"/>
  <c r="S167"/>
  <c r="Q169" l="1"/>
  <c r="S168"/>
  <c r="Q170" l="1"/>
  <c r="S169"/>
  <c r="Q171" l="1"/>
  <c r="S170"/>
  <c r="S171" l="1"/>
  <c r="Q172"/>
  <c r="Q173" l="1"/>
  <c r="S172"/>
  <c r="S173" l="1"/>
  <c r="Q174"/>
  <c r="Q175" l="1"/>
  <c r="S174"/>
  <c r="Q176" l="1"/>
  <c r="S175"/>
  <c r="Q177" l="1"/>
  <c r="S176"/>
  <c r="Q178" l="1"/>
  <c r="S177"/>
  <c r="Q179" l="1"/>
  <c r="S178"/>
  <c r="S179" l="1"/>
  <c r="Q180"/>
  <c r="Q181" l="1"/>
  <c r="S180"/>
  <c r="S181" l="1"/>
  <c r="Q182"/>
  <c r="Q183" l="1"/>
  <c r="S182"/>
  <c r="Q184" l="1"/>
  <c r="S183"/>
  <c r="Q185" l="1"/>
  <c r="S184"/>
  <c r="Q186" l="1"/>
  <c r="S185"/>
  <c r="Q187" l="1"/>
  <c r="S186"/>
  <c r="S187" l="1"/>
  <c r="Q188"/>
  <c r="Q189" l="1"/>
  <c r="S188"/>
  <c r="S189" l="1"/>
  <c r="Q190"/>
  <c r="Q191" l="1"/>
  <c r="S190"/>
  <c r="Q192" l="1"/>
  <c r="S191"/>
  <c r="Q193" l="1"/>
  <c r="S192"/>
  <c r="Q194" l="1"/>
  <c r="S193"/>
  <c r="Q195" l="1"/>
  <c r="S194"/>
  <c r="S195" l="1"/>
  <c r="Q196"/>
  <c r="Q197" l="1"/>
  <c r="S196"/>
  <c r="S197" l="1"/>
  <c r="Q198"/>
  <c r="Q199" l="1"/>
  <c r="S198"/>
  <c r="Q200" l="1"/>
  <c r="S199"/>
  <c r="Q201" l="1"/>
  <c r="S200"/>
  <c r="Q202" l="1"/>
  <c r="S201"/>
  <c r="Q203" l="1"/>
  <c r="S202"/>
  <c r="S203" l="1"/>
  <c r="Q204"/>
  <c r="Q205" l="1"/>
  <c r="S204"/>
  <c r="S205" l="1"/>
  <c r="Q206"/>
  <c r="Q207" l="1"/>
  <c r="S206"/>
  <c r="Q208" l="1"/>
  <c r="S207"/>
  <c r="Q209" l="1"/>
  <c r="S208"/>
  <c r="Q210" l="1"/>
  <c r="S209"/>
  <c r="Q211" l="1"/>
  <c r="S210"/>
  <c r="Q212" l="1"/>
  <c r="S211"/>
  <c r="Q213" l="1"/>
  <c r="S212"/>
  <c r="Q214" l="1"/>
  <c r="S213"/>
  <c r="Q215" l="1"/>
  <c r="S214"/>
  <c r="Q216" l="1"/>
  <c r="S215"/>
  <c r="Q217" l="1"/>
  <c r="S216"/>
  <c r="Q218" l="1"/>
  <c r="S217"/>
  <c r="Q219" l="1"/>
  <c r="S218"/>
  <c r="Q220" l="1"/>
  <c r="S219"/>
  <c r="Q221" l="1"/>
  <c r="S220"/>
  <c r="Q222" l="1"/>
  <c r="S221"/>
  <c r="Q223" l="1"/>
  <c r="S222"/>
  <c r="Q224" l="1"/>
  <c r="S223"/>
  <c r="Q225" l="1"/>
  <c r="S224"/>
  <c r="Q226" l="1"/>
  <c r="S225"/>
  <c r="Q227" l="1"/>
  <c r="S226"/>
  <c r="Q228" l="1"/>
  <c r="S227"/>
  <c r="Q229" l="1"/>
  <c r="S228"/>
  <c r="Q230" l="1"/>
  <c r="S229"/>
  <c r="Q231" l="1"/>
  <c r="S230"/>
  <c r="Q232" l="1"/>
  <c r="S231"/>
  <c r="Q233" l="1"/>
  <c r="S232"/>
  <c r="Q234" l="1"/>
  <c r="S233"/>
  <c r="Q235" l="1"/>
  <c r="S234"/>
  <c r="Q236" l="1"/>
  <c r="S235"/>
  <c r="Q237" l="1"/>
  <c r="S236"/>
  <c r="Q238" l="1"/>
  <c r="S237"/>
  <c r="Q239" l="1"/>
  <c r="S238"/>
  <c r="Q240" l="1"/>
  <c r="S239"/>
  <c r="Q241" l="1"/>
  <c r="S240"/>
  <c r="Q242" l="1"/>
  <c r="S241"/>
  <c r="Q243" l="1"/>
  <c r="S242"/>
  <c r="Q244" l="1"/>
  <c r="S243"/>
  <c r="Q245" l="1"/>
  <c r="S244"/>
  <c r="Q246" l="1"/>
  <c r="S245"/>
  <c r="Q247" l="1"/>
  <c r="S246"/>
  <c r="Q248" l="1"/>
  <c r="S247"/>
  <c r="Q249" l="1"/>
  <c r="S248"/>
  <c r="Q250" l="1"/>
  <c r="S249"/>
  <c r="Q251" l="1"/>
  <c r="S250"/>
  <c r="Q252" l="1"/>
  <c r="S251"/>
  <c r="Q253" l="1"/>
  <c r="S252"/>
  <c r="Q254" l="1"/>
  <c r="S253"/>
  <c r="Q255" l="1"/>
  <c r="S254"/>
  <c r="Q256" l="1"/>
  <c r="S255"/>
  <c r="Q257" l="1"/>
  <c r="S256"/>
  <c r="Q258" l="1"/>
  <c r="S257"/>
  <c r="Q259" l="1"/>
  <c r="S258"/>
  <c r="Q260" l="1"/>
  <c r="S259"/>
  <c r="Q261" l="1"/>
  <c r="S260"/>
  <c r="Q262" l="1"/>
  <c r="S261"/>
  <c r="Q263" l="1"/>
  <c r="S262"/>
  <c r="Q264" l="1"/>
  <c r="S263"/>
  <c r="Q265" l="1"/>
  <c r="S264"/>
  <c r="Q266" l="1"/>
  <c r="S265"/>
  <c r="Q267" l="1"/>
  <c r="S266"/>
  <c r="Q268" l="1"/>
  <c r="S267"/>
  <c r="Q269" l="1"/>
  <c r="S268"/>
  <c r="Q270" l="1"/>
  <c r="S269"/>
  <c r="Q271" l="1"/>
  <c r="S270"/>
  <c r="Q272" l="1"/>
  <c r="S271"/>
  <c r="Q273" l="1"/>
  <c r="S272"/>
  <c r="Q274" l="1"/>
  <c r="S273"/>
  <c r="Q275" l="1"/>
  <c r="S274"/>
  <c r="Q276" l="1"/>
  <c r="S275"/>
  <c r="Q277" l="1"/>
  <c r="S276"/>
  <c r="Q278" l="1"/>
  <c r="S277"/>
  <c r="Q279" l="1"/>
  <c r="S278"/>
  <c r="Q280" l="1"/>
  <c r="S279"/>
  <c r="Q281" l="1"/>
  <c r="S280"/>
  <c r="Q282" l="1"/>
  <c r="S281"/>
  <c r="Q283" l="1"/>
  <c r="S282"/>
  <c r="Q284" l="1"/>
  <c r="S283"/>
  <c r="Q285" l="1"/>
  <c r="S284"/>
  <c r="Q286" l="1"/>
  <c r="S285"/>
  <c r="Q287" l="1"/>
  <c r="S286"/>
  <c r="Q288" l="1"/>
  <c r="S287"/>
  <c r="Q289" l="1"/>
  <c r="S288"/>
  <c r="Q290" l="1"/>
  <c r="S289"/>
  <c r="Q291" l="1"/>
  <c r="S290"/>
  <c r="Q292" l="1"/>
  <c r="S291"/>
  <c r="Q293" l="1"/>
  <c r="S292"/>
  <c r="Q294" l="1"/>
  <c r="S293"/>
  <c r="Q295" l="1"/>
  <c r="S294"/>
  <c r="Q296" l="1"/>
  <c r="S295"/>
  <c r="Q297" l="1"/>
  <c r="S296"/>
  <c r="Q298" l="1"/>
  <c r="S297"/>
  <c r="Q299" l="1"/>
  <c r="S298"/>
  <c r="Q300" l="1"/>
  <c r="S299"/>
  <c r="Q301" l="1"/>
  <c r="S300"/>
  <c r="Q302" l="1"/>
  <c r="S301"/>
  <c r="Q303" l="1"/>
  <c r="S302"/>
  <c r="Q304" l="1"/>
  <c r="S303"/>
  <c r="Q305" l="1"/>
  <c r="S304"/>
  <c r="Q306" l="1"/>
  <c r="S305"/>
  <c r="Q307" l="1"/>
  <c r="S306"/>
  <c r="Q308" l="1"/>
  <c r="S307"/>
  <c r="Q309" l="1"/>
  <c r="S308"/>
  <c r="Q310" l="1"/>
  <c r="S309"/>
  <c r="Q311" l="1"/>
  <c r="S310"/>
  <c r="Q312" l="1"/>
  <c r="S311"/>
  <c r="Q313" l="1"/>
  <c r="S312"/>
  <c r="Q314" l="1"/>
  <c r="S313"/>
  <c r="Q315" l="1"/>
  <c r="S314"/>
  <c r="Q316" l="1"/>
  <c r="S315"/>
  <c r="Q317" l="1"/>
  <c r="S316"/>
  <c r="Q318" l="1"/>
  <c r="S317"/>
  <c r="Q319" l="1"/>
  <c r="S318"/>
  <c r="Q320" l="1"/>
  <c r="S319"/>
  <c r="Q321" l="1"/>
  <c r="S320"/>
  <c r="Q322" l="1"/>
  <c r="S321"/>
  <c r="Q323" l="1"/>
  <c r="S322"/>
  <c r="Q324" l="1"/>
  <c r="S323"/>
  <c r="Q325" l="1"/>
  <c r="S324"/>
  <c r="Q326" l="1"/>
  <c r="S325"/>
  <c r="Q327" l="1"/>
  <c r="S326"/>
  <c r="Q328" l="1"/>
  <c r="S327"/>
  <c r="Q329" l="1"/>
  <c r="S328"/>
  <c r="Q330" l="1"/>
  <c r="S329"/>
  <c r="Q331" l="1"/>
  <c r="S330"/>
  <c r="Q332" l="1"/>
  <c r="S331"/>
  <c r="Q333" l="1"/>
  <c r="S332"/>
  <c r="Q334" l="1"/>
  <c r="S333"/>
  <c r="Q335" l="1"/>
  <c r="S334"/>
  <c r="Q336" l="1"/>
  <c r="S335"/>
  <c r="Q337" l="1"/>
  <c r="S336"/>
  <c r="Q338" l="1"/>
  <c r="S337"/>
  <c r="Q339" l="1"/>
  <c r="S338"/>
  <c r="Q340" l="1"/>
  <c r="S339"/>
  <c r="Q341" l="1"/>
  <c r="S340"/>
  <c r="Q342" l="1"/>
  <c r="S341"/>
  <c r="Q343" l="1"/>
  <c r="S342"/>
  <c r="Q344" l="1"/>
  <c r="S343"/>
  <c r="Q345" l="1"/>
  <c r="S344"/>
  <c r="Q346" l="1"/>
  <c r="S345"/>
  <c r="Q347" l="1"/>
  <c r="S346"/>
  <c r="Q348" l="1"/>
  <c r="S347"/>
  <c r="Q349" l="1"/>
  <c r="S348"/>
  <c r="Q350" l="1"/>
  <c r="S349"/>
  <c r="Q351" l="1"/>
  <c r="S350"/>
  <c r="Q352" l="1"/>
  <c r="S351"/>
  <c r="Q353" l="1"/>
  <c r="S352"/>
  <c r="Q354" l="1"/>
  <c r="S353"/>
  <c r="Q355" l="1"/>
  <c r="S354"/>
  <c r="Q356" l="1"/>
  <c r="S355"/>
  <c r="Q357" l="1"/>
  <c r="S356"/>
  <c r="Q358" l="1"/>
  <c r="S357"/>
  <c r="Q359" l="1"/>
  <c r="S358"/>
  <c r="Q360" l="1"/>
  <c r="S359"/>
  <c r="Q361" l="1"/>
  <c r="S360"/>
  <c r="Q362" l="1"/>
  <c r="S361"/>
  <c r="Q363" l="1"/>
  <c r="S362"/>
  <c r="Q364" l="1"/>
  <c r="S363"/>
  <c r="Q365" l="1"/>
  <c r="S364"/>
  <c r="Q366" l="1"/>
  <c r="S365"/>
  <c r="Q367" l="1"/>
  <c r="S366"/>
  <c r="Q368" l="1"/>
  <c r="S367"/>
  <c r="Q369" l="1"/>
  <c r="S368"/>
  <c r="Q370" l="1"/>
  <c r="S369"/>
  <c r="Q371" l="1"/>
  <c r="S370"/>
  <c r="Q372" l="1"/>
  <c r="S371"/>
  <c r="Q373" l="1"/>
  <c r="S372"/>
  <c r="Q374" l="1"/>
  <c r="S373"/>
  <c r="Q375" l="1"/>
  <c r="S374"/>
  <c r="Q376" l="1"/>
  <c r="S375"/>
  <c r="Q377" l="1"/>
  <c r="S376"/>
  <c r="Q378" l="1"/>
  <c r="S377"/>
  <c r="Q379" l="1"/>
  <c r="S378"/>
  <c r="Q380" l="1"/>
  <c r="S379"/>
  <c r="Q381" l="1"/>
  <c r="S380"/>
  <c r="Q382" l="1"/>
  <c r="S381"/>
  <c r="Q383" l="1"/>
  <c r="S382"/>
  <c r="Q384" l="1"/>
  <c r="S383"/>
  <c r="Q385" l="1"/>
  <c r="S384"/>
  <c r="Q386" l="1"/>
  <c r="S385"/>
  <c r="Q387" l="1"/>
  <c r="S386"/>
  <c r="Q388" l="1"/>
  <c r="S387"/>
  <c r="Q389" l="1"/>
  <c r="S388"/>
  <c r="Q390" l="1"/>
  <c r="S389"/>
  <c r="Q391" l="1"/>
  <c r="S390"/>
  <c r="Q392" l="1"/>
  <c r="S391"/>
  <c r="Q393" l="1"/>
  <c r="S392"/>
  <c r="Q394" l="1"/>
  <c r="S393"/>
  <c r="Q395" l="1"/>
  <c r="S394"/>
  <c r="Q396" l="1"/>
  <c r="S395"/>
  <c r="Q397" l="1"/>
  <c r="S396"/>
  <c r="Q398" l="1"/>
  <c r="S397"/>
  <c r="Q399" l="1"/>
  <c r="S398"/>
  <c r="Q400" l="1"/>
  <c r="S399"/>
  <c r="Q401" l="1"/>
  <c r="S400"/>
  <c r="Q402" l="1"/>
  <c r="S401"/>
  <c r="Q403" l="1"/>
  <c r="S402"/>
  <c r="Q404" l="1"/>
  <c r="S403"/>
  <c r="Q405" l="1"/>
  <c r="S404"/>
  <c r="Q406" l="1"/>
  <c r="S405"/>
  <c r="Q407" l="1"/>
  <c r="S406"/>
  <c r="Q408" l="1"/>
  <c r="S407"/>
  <c r="Q409" l="1"/>
  <c r="S408"/>
  <c r="Q410" l="1"/>
  <c r="S409"/>
  <c r="Q411" l="1"/>
  <c r="S410"/>
  <c r="Q412" l="1"/>
  <c r="S411"/>
  <c r="Q413" l="1"/>
  <c r="S412"/>
  <c r="Q414" l="1"/>
  <c r="S413"/>
  <c r="Q415" l="1"/>
  <c r="S414"/>
  <c r="Q416" l="1"/>
  <c r="S415"/>
  <c r="Q417" l="1"/>
  <c r="S416"/>
  <c r="Q418" l="1"/>
  <c r="S417"/>
  <c r="Q419" l="1"/>
  <c r="S418"/>
  <c r="Q420" l="1"/>
  <c r="S419"/>
  <c r="Q421" l="1"/>
  <c r="S420"/>
  <c r="Q422" l="1"/>
  <c r="S421"/>
  <c r="Q423" l="1"/>
  <c r="S422"/>
  <c r="Q424" l="1"/>
  <c r="S423"/>
  <c r="Q425" l="1"/>
  <c r="S424"/>
  <c r="Q426" l="1"/>
  <c r="S425"/>
  <c r="Q427" l="1"/>
  <c r="S426"/>
  <c r="Q428" l="1"/>
  <c r="S427"/>
  <c r="Q429" l="1"/>
  <c r="S428"/>
  <c r="S429" l="1"/>
  <c r="Q430"/>
  <c r="Q431" l="1"/>
  <c r="S430"/>
  <c r="Q432" l="1"/>
  <c r="S431"/>
  <c r="Q433" l="1"/>
  <c r="S432"/>
  <c r="Q434" l="1"/>
  <c r="S433"/>
  <c r="Q435" l="1"/>
  <c r="S434"/>
  <c r="Q436" l="1"/>
  <c r="S435"/>
  <c r="Q437" l="1"/>
  <c r="S436"/>
  <c r="S437" l="1"/>
  <c r="Q438"/>
  <c r="Q439" l="1"/>
  <c r="S438"/>
  <c r="Q440" l="1"/>
  <c r="S439"/>
  <c r="Q441" l="1"/>
  <c r="S440"/>
  <c r="S441" l="1"/>
  <c r="Q442"/>
  <c r="Q443" l="1"/>
  <c r="S442"/>
  <c r="Q444" l="1"/>
  <c r="S443"/>
  <c r="Q445" l="1"/>
  <c r="S444"/>
  <c r="S445" l="1"/>
  <c r="Q446"/>
  <c r="Q447" l="1"/>
  <c r="S446"/>
  <c r="Q448" l="1"/>
  <c r="S447"/>
  <c r="Q449" l="1"/>
  <c r="S448"/>
  <c r="Q450" l="1"/>
  <c r="S449"/>
  <c r="Q451" l="1"/>
  <c r="S450"/>
  <c r="Q452" l="1"/>
  <c r="S451"/>
  <c r="Q453" l="1"/>
  <c r="S452"/>
  <c r="S453" l="1"/>
  <c r="Q454"/>
  <c r="Q455" l="1"/>
  <c r="S454"/>
  <c r="Q456" l="1"/>
  <c r="S455"/>
  <c r="Q457" l="1"/>
  <c r="S456"/>
  <c r="S457" l="1"/>
  <c r="Q458"/>
  <c r="Q459" l="1"/>
  <c r="S458"/>
  <c r="Q460" l="1"/>
  <c r="S459"/>
  <c r="Q461" l="1"/>
  <c r="S460"/>
  <c r="S461" l="1"/>
  <c r="Q462"/>
  <c r="S462" s="1"/>
  <c r="S8" s="1"/>
  <c r="P51" i="58" l="1"/>
  <c r="L113" i="59"/>
  <c r="E19" i="60" l="1"/>
  <c r="E45" s="1"/>
  <c r="P59" i="58"/>
  <c r="P61" s="1"/>
  <c r="C113" i="59"/>
  <c r="L118"/>
  <c r="L120" s="1"/>
  <c r="L126" l="1"/>
  <c r="E18" i="60"/>
  <c r="M16" l="1"/>
  <c r="E43"/>
  <c r="M41" s="1"/>
  <c r="L127" i="59"/>
  <c r="P65" i="58"/>
  <c r="L133" i="59" l="1"/>
  <c r="L132"/>
  <c r="L131"/>
  <c r="L134"/>
  <c r="L135" l="1"/>
  <c r="P67" i="58" l="1"/>
  <c r="L137" i="59"/>
  <c r="L139" s="1"/>
  <c r="F75" i="58" l="1"/>
  <c r="B8" i="59"/>
  <c r="G8" s="1"/>
  <c r="L8" s="1"/>
  <c r="K159"/>
  <c r="M5" i="60" l="1"/>
  <c r="J75" i="58"/>
  <c r="E5" i="60"/>
  <c r="N75" i="58"/>
  <c r="N35"/>
  <c r="N49"/>
  <c r="N53"/>
  <c r="N47"/>
  <c r="N45"/>
  <c r="N55"/>
  <c r="N33"/>
  <c r="N29"/>
  <c r="N37"/>
  <c r="N19"/>
  <c r="N21"/>
  <c r="N51"/>
  <c r="N65"/>
  <c r="N67"/>
  <c r="M11" i="60" l="1"/>
  <c r="M8"/>
  <c r="M9"/>
  <c r="M10"/>
  <c r="E6"/>
  <c r="E7"/>
  <c r="E11"/>
  <c r="E9"/>
  <c r="E10"/>
  <c r="E30"/>
  <c r="E8"/>
  <c r="E12" l="1"/>
  <c r="E13" s="1"/>
  <c r="E15" s="1"/>
  <c r="M12"/>
  <c r="E20"/>
  <c r="G20" s="1"/>
  <c r="E31"/>
  <c r="E35"/>
  <c r="E34"/>
  <c r="E36"/>
  <c r="M38" s="1"/>
  <c r="E33"/>
  <c r="E32"/>
  <c r="M30"/>
  <c r="M13"/>
  <c r="M15" s="1"/>
  <c r="M17" s="1"/>
  <c r="E17"/>
  <c r="E42" s="1"/>
  <c r="M20" l="1"/>
  <c r="M18"/>
  <c r="M21" s="1"/>
  <c r="O21" s="1"/>
  <c r="M19"/>
  <c r="M35"/>
  <c r="M37" s="1"/>
  <c r="M40" s="1"/>
  <c r="M42" s="1"/>
  <c r="M34"/>
  <c r="M33"/>
  <c r="M36"/>
  <c r="E37"/>
  <c r="E38" s="1"/>
  <c r="E40" s="1"/>
  <c r="E46" s="1"/>
  <c r="G46" s="1"/>
  <c r="M45" l="1"/>
  <c r="M44"/>
  <c r="M43"/>
  <c r="M46" l="1"/>
  <c r="O46" s="1"/>
</calcChain>
</file>

<file path=xl/comments1.xml><?xml version="1.0" encoding="utf-8"?>
<comments xmlns="http://schemas.openxmlformats.org/spreadsheetml/2006/main">
  <authors>
    <author>I1074249</author>
    <author>infra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Se a opção não for Pregão Eletrônico, o Gestor deverá justificar. 
Conforme: Decreto nº 5.450, de 31/05/2005.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sz val="8"/>
            <color indexed="81"/>
            <rFont val="Tahoma"/>
            <family val="2"/>
          </rPr>
          <t>Se esta for uma planilha de prorrogação, informar o saldo não utilizado na versão anterior</t>
        </r>
      </text>
    </comment>
  </commentList>
</comments>
</file>

<file path=xl/comments10.xml><?xml version="1.0" encoding="utf-8"?>
<comments xmlns="http://schemas.openxmlformats.org/spreadsheetml/2006/main">
  <authors>
    <author>infra</author>
    <author>I1074249</author>
  </authors>
  <commentList>
    <comment ref="C13" authorId="0">
      <text>
        <r>
          <rPr>
            <sz val="8"/>
            <color indexed="81"/>
            <rFont val="Tahoma"/>
            <family val="2"/>
          </rPr>
          <t xml:space="preserve">As linhas e colunas desnecessárias podem ser ocultadas.
</t>
        </r>
        <r>
          <rPr>
            <sz val="8"/>
            <color indexed="10"/>
            <rFont val="Tahoma"/>
            <family val="2"/>
          </rPr>
          <t>Atenção: As linhas e colunas ocultadas devem estar sem dados</t>
        </r>
      </text>
    </comment>
    <comment ref="F13" authorId="1">
      <text>
        <r>
          <rPr>
            <b/>
            <sz val="8"/>
            <color indexed="81"/>
            <rFont val="Tahoma"/>
            <family val="2"/>
          </rPr>
          <t>Valor de aquisição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 xml:space="preserve">Valor Residual: Valor do Bem após a sua depreciação. 
Por Exemplo:
GOL Fabricado em  2002 custou R$ 22.000,00, cinco anos, após sua depreciação, em 2007 custa  </t>
        </r>
        <r>
          <rPr>
            <b/>
            <sz val="9"/>
            <color indexed="10"/>
            <rFont val="Tahoma"/>
            <family val="2"/>
          </rPr>
          <t>R$ 8.000,00 (valor Residual).</t>
        </r>
        <r>
          <rPr>
            <b/>
            <sz val="9"/>
            <color indexed="81"/>
            <rFont val="Tahoma"/>
            <family val="2"/>
          </rPr>
          <t xml:space="preserve">
LEMBRETE:
Só exite valor residual se o bem ainda tiver valor de mercado após sua depreciação.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Período de meses para depreciação do bem.</t>
        </r>
        <r>
          <rPr>
            <sz val="8"/>
            <color indexed="81"/>
            <rFont val="Tahoma"/>
            <family val="2"/>
          </rPr>
          <t xml:space="preserve">
(IN SRF Nº 162)
</t>
        </r>
      </text>
    </comment>
    <comment ref="O13" authorId="1">
      <text>
        <r>
          <rPr>
            <b/>
            <sz val="8"/>
            <color indexed="81"/>
            <rFont val="Tahoma"/>
            <family val="2"/>
          </rPr>
          <t>= Custo líquido / pelo Tempo de depreciação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1">
      <text>
        <r>
          <rPr>
            <b/>
            <sz val="8"/>
            <color indexed="81"/>
            <rFont val="Tahoma"/>
            <family val="2"/>
          </rPr>
          <t>Este valor deverá ser o mesmo encontrado na planilha DOV_Simulador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Cassia</author>
    <author>I1074249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 xml:space="preserve">Bimestral =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 xml:space="preserve"> meses
Trimestral =</t>
        </r>
        <r>
          <rPr>
            <b/>
            <sz val="8"/>
            <color indexed="10"/>
            <rFont val="Tahoma"/>
            <family val="2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meses
Semestral =</t>
        </r>
        <r>
          <rPr>
            <b/>
            <sz val="8"/>
            <color indexed="10"/>
            <rFont val="Tahoma"/>
            <family val="2"/>
          </rPr>
          <t xml:space="preserve"> 6</t>
        </r>
        <r>
          <rPr>
            <b/>
            <sz val="8"/>
            <color indexed="81"/>
            <rFont val="Tahoma"/>
            <family val="2"/>
          </rPr>
          <t xml:space="preserve"> meses
Anual = 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1">
      <text>
        <r>
          <rPr>
            <sz val="8"/>
            <color indexed="81"/>
            <rFont val="Tahoma"/>
            <family val="2"/>
          </rPr>
          <t xml:space="preserve">Inserir o valor 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Se o crédito do bem ou serviço não estiver previstos nos artigos 3ºs das Leis 10637/02 e 10833/03, apagar a célula correspondente.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Cassia</author>
    <author>I9749850</author>
  </authors>
  <commentList>
    <comment ref="I8" authorId="0">
      <text>
        <r>
          <rPr>
            <b/>
            <sz val="8"/>
            <color indexed="81"/>
            <rFont val="Tahoma"/>
            <family val="2"/>
          </rPr>
          <t xml:space="preserve">Previdência Social (INSS) - Conforme o artigo 22, inciso I, da Lei 8.212/91, a empresa custeia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b/>
            <sz val="8"/>
            <color indexed="81"/>
            <rFont val="Tahoma"/>
            <family val="2"/>
          </rPr>
          <t>;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 xml:space="preserve">SESI/SESC - Por força do artigo 30 da Lei nº 8.036/90, a contratada fica obrigada a contribuir com </t>
        </r>
        <r>
          <rPr>
            <b/>
            <sz val="8"/>
            <color indexed="10"/>
            <rFont val="Tahoma"/>
            <family val="2"/>
          </rPr>
          <t>1,5%</t>
        </r>
        <r>
          <rPr>
            <b/>
            <sz val="8"/>
            <color indexed="81"/>
            <rFont val="Tahoma"/>
            <family val="2"/>
          </rPr>
          <t xml:space="preserve"> para manutenção desses sistemas;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color indexed="81"/>
            <rFont val="Tahoma"/>
            <family val="2"/>
          </rPr>
          <t xml:space="preserve">SENAI /SENAC - O contribuinte arca com </t>
        </r>
        <r>
          <rPr>
            <b/>
            <sz val="8"/>
            <color indexed="10"/>
            <rFont val="Tahoma"/>
            <family val="2"/>
          </rPr>
          <t>1%,</t>
        </r>
        <r>
          <rPr>
            <b/>
            <sz val="8"/>
            <color indexed="81"/>
            <rFont val="Tahoma"/>
            <family val="2"/>
          </rPr>
          <t xml:space="preserve"> em obediência ao Decreto-Lei nº 2.318/86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INCRA - A empresa participa com</t>
        </r>
        <r>
          <rPr>
            <b/>
            <sz val="8"/>
            <color indexed="10"/>
            <rFont val="Tahoma"/>
            <family val="2"/>
          </rPr>
          <t xml:space="preserve"> 0,2%</t>
        </r>
        <r>
          <rPr>
            <b/>
            <sz val="8"/>
            <color indexed="81"/>
            <rFont val="Tahoma"/>
            <family val="2"/>
          </rPr>
          <t>, para atendimento dos artigos 1º e 2º do Decreto-Lei nº 1.146/70;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A prestadora de serviços contribui com </t>
        </r>
        <r>
          <rPr>
            <b/>
            <sz val="8"/>
            <color indexed="10"/>
            <rFont val="Tahoma"/>
            <family val="2"/>
          </rPr>
          <t>2,5%</t>
        </r>
        <r>
          <rPr>
            <b/>
            <sz val="8"/>
            <color indexed="81"/>
            <rFont val="Tahoma"/>
            <family val="2"/>
          </rPr>
          <t>,</t>
        </r>
        <r>
          <rPr>
            <b/>
            <sz val="8"/>
            <color indexed="81"/>
            <rFont val="Tahoma"/>
            <family val="2"/>
          </rPr>
          <t xml:space="preserve">  art. 15 da Lei nº 9.424/96; art. 2º do Decreto nº 3.142/99; e art. 212, § 5º da CF;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color indexed="10"/>
            <rFont val="Tahoma"/>
            <family val="2"/>
          </rPr>
          <t>8%</t>
        </r>
        <r>
          <rPr>
            <b/>
            <sz val="8"/>
            <color indexed="81"/>
            <rFont val="Tahoma"/>
            <family val="2"/>
          </rPr>
          <t xml:space="preserve"> conforme previsto no art. 7º, Inc. III, da CF, regulamentado pela Lei nº 8.036/90, art. 15.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 xml:space="preserve">pode ser de 1%, 2% ou </t>
        </r>
        <r>
          <rPr>
            <b/>
            <sz val="8"/>
            <color indexed="10"/>
            <rFont val="Tahoma"/>
            <family val="2"/>
          </rPr>
          <t>3%</t>
        </r>
        <r>
          <rPr>
            <b/>
            <sz val="8"/>
            <color indexed="81"/>
            <rFont val="Tahoma"/>
            <family val="2"/>
          </rPr>
          <t>, conforme preceitua o art. 22, inc. II, da Lei nº 8.212/91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1">
      <text>
        <r>
          <rPr>
            <b/>
            <sz val="8"/>
            <color indexed="81"/>
            <rFont val="Tahoma"/>
            <family val="2"/>
          </rPr>
          <t>pode ser de 0 até 2, conforme preceitua o § 1º do art. 202-A do Decreto 3048/1999.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 xml:space="preserve">O empregador, para atender  às  Leis nº 8.029/90 e 8.154/90, contribui com </t>
        </r>
        <r>
          <rPr>
            <b/>
            <sz val="8"/>
            <color indexed="10"/>
            <rFont val="Tahoma"/>
            <family val="2"/>
          </rPr>
          <t>0,6%</t>
        </r>
        <r>
          <rPr>
            <b/>
            <sz val="8"/>
            <color indexed="81"/>
            <rFont val="Tahoma"/>
            <family val="2"/>
          </rPr>
          <t xml:space="preserve"> sobre a folha.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Afastamento de 30 dias, sem prejuízo da remuneração, após cada período de 12 (doze) meses de vigência do contrato de trabalho. O pagamento ocorre conforme preceitua o artigo 129 e o inciso I do artigo 130 do Decreto-Lei nº 5.452/43 - CLT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 xml:space="preserve">A CF, em seu art. 7º, inciso XVII, prevê que as férias sejam pagas com adicional de 1/3 (um terço) da remuneração do mês.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(1/3)/12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Na aplicação do artigo 131, inciso III, da CLT, a empresa é obrigada a suprir a ausência de  até 15 (quinze) dias do empregado por motivo de acidente ou doença atestada pelo INSS.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Criada pelo art. 7º, inc. XIX da CF, combinado com o art. 10, § 1º dos Atos das Disposições Constitucionais Transitórias - ADCT.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Ausências ao trabalho asseguradas ao empregado pelo artigo 473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 xml:space="preserve">O artigo 27 do Decreto nº 89.312, de 23/01/84, obriga o empregador a assumir o ônus financeiro pelo prazo de 15 (quinze) dias, no caso de acidente de trabalho previsto no artigo 131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 xml:space="preserve">Refere-se à indenização de sete dias corridos devida ao empregado no caso de o empregador rescindir o contrato sem justo motivo e conceder aviso prévio, conforme disposto no artigo 488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Gratificação de Natal, instituída pela Lei nº 4.090, de 13 de julho de 1962. A provisão mensal representa 1/12 da folha para que ao final do período complete um salário.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 xml:space="preserve">Trata-se de valor devido ao empregado no caso de o empregador rescindir o contrato sem justo motivo e sem lhe conceder aviso prévio, conforme disposto no § 1º do art. 487 da CLT.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  <family val="2"/>
          </rPr>
          <t>Prevista no art. 9º da Lei nº 7.238/84, assegurando ao empregado dispensado sem justa causa nos trinta dias que antecederem a convenção salarial o direito à percepção de indenização adicional equivalente a um mês de remuneração.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 xml:space="preserve">A Lei Complementar nº 110, de 29 de junho de 2001, determina multa de 50% e eleva o depósito para 8%.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Cassia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 xml:space="preserve">Bimestral = </t>
        </r>
        <r>
          <rPr>
            <b/>
            <sz val="8"/>
            <color indexed="10"/>
            <rFont val="Tahoma"/>
            <family val="2"/>
          </rPr>
          <t xml:space="preserve">2 </t>
        </r>
        <r>
          <rPr>
            <b/>
            <sz val="8"/>
            <color indexed="81"/>
            <rFont val="Tahoma"/>
            <family val="2"/>
          </rPr>
          <t xml:space="preserve">meses
Trimestral =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color indexed="81"/>
            <rFont val="Tahoma"/>
            <family val="2"/>
          </rPr>
          <t xml:space="preserve"> meses
Semestral = </t>
        </r>
        <r>
          <rPr>
            <b/>
            <sz val="8"/>
            <color indexed="10"/>
            <rFont val="Tahoma"/>
            <family val="2"/>
          </rPr>
          <t>6</t>
        </r>
        <r>
          <rPr>
            <b/>
            <sz val="8"/>
            <color indexed="81"/>
            <rFont val="Tahoma"/>
            <family val="2"/>
          </rPr>
          <t xml:space="preserve"> meses
Anual = 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 xml:space="preserve">Conforme estabelecido na  Convenção c/c a Cotação:
</t>
        </r>
        <r>
          <rPr>
            <b/>
            <sz val="8"/>
            <color indexed="81"/>
            <rFont val="Tahoma"/>
            <family val="2"/>
          </rPr>
          <t>12 = orçar a quantidade relativa ao ano;
6 = orçar a quantidade relativa ao semestre;
3 = orçar a quantidade relativa ao trimestre;
2 = orçar a quantidade relativa ao bimestre;</t>
        </r>
      </text>
    </comment>
  </commentList>
</comments>
</file>

<file path=xl/comments14.xml><?xml version="1.0" encoding="utf-8"?>
<comments xmlns="http://schemas.openxmlformats.org/spreadsheetml/2006/main">
  <authors>
    <author>I1074249</author>
  </authors>
  <commentList>
    <comment ref="C67" authorId="0">
      <text>
        <r>
          <rPr>
            <b/>
            <sz val="8"/>
            <color indexed="81"/>
            <rFont val="Tahoma"/>
            <family val="2"/>
          </rPr>
          <t>ET= Encargos Tributários
DA= Despesas Administrativas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ET= Encargos Tributários
DA= Despesas Administrativas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1" authorId="0">
      <text>
        <r>
          <rPr>
            <b/>
            <sz val="8"/>
            <color indexed="81"/>
            <rFont val="Tahoma"/>
            <family val="2"/>
          </rPr>
          <t>ET= Encargos Tributários
DA= Despesas Administrativas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I1074249</author>
    <author>Cassia</author>
  </authors>
  <commentList>
    <comment ref="G8" authorId="0">
      <text>
        <r>
          <rPr>
            <b/>
            <sz val="8"/>
            <color indexed="81"/>
            <rFont val="Tahoma"/>
            <family val="2"/>
          </rPr>
          <t>Valor global pora 12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Saldo a transportar da versão anterior.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Total geral.</t>
        </r>
      </text>
    </comment>
    <comment ref="F145" authorId="1">
      <text>
        <r>
          <rPr>
            <b/>
            <sz val="8"/>
            <color indexed="81"/>
            <rFont val="Tahoma"/>
            <family val="2"/>
          </rPr>
          <t>O valor inserido não poderá ser superior ao total da Remuneração.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5" authorId="0">
      <text>
        <r>
          <rPr>
            <b/>
            <sz val="8"/>
            <color indexed="81"/>
            <rFont val="Tahoma"/>
            <family val="2"/>
          </rPr>
          <t>Ver Nota n. 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Cassia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(4,8%) ou 6147 (1,2%)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e 6147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>Lei nº 10637/02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ou 6147</t>
        </r>
      </text>
    </comment>
    <comment ref="O9" authorId="0">
      <text>
        <r>
          <rPr>
            <b/>
            <sz val="8"/>
            <color indexed="81"/>
            <rFont val="Tahoma"/>
            <family val="2"/>
          </rPr>
          <t xml:space="preserve">Lei nº 10833/04
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 ou 6147
</t>
        </r>
      </text>
    </comment>
    <comment ref="O10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Retenção de 11%</t>
        </r>
        <r>
          <rPr>
            <sz val="8"/>
            <color indexed="81"/>
            <rFont val="Tahoma"/>
            <family val="2"/>
          </rPr>
          <t xml:space="preserve">
art. 31 da Lei nº 8.212/91</t>
        </r>
      </text>
    </comment>
    <comment ref="G14" authorId="0">
      <text>
        <r>
          <rPr>
            <sz val="8"/>
            <color indexed="81"/>
            <rFont val="Tahoma"/>
            <family val="2"/>
          </rPr>
          <t xml:space="preserve">Lei nº 9.539/97
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Valor Apurado do Grupo A - Inss Retido na NF, conforme § 1º  do art. 31 da Lei nº 8212/91</t>
        </r>
      </text>
    </comment>
    <comment ref="G18" authorId="0">
      <text>
        <r>
          <rPr>
            <sz val="8"/>
            <color indexed="81"/>
            <rFont val="Tahoma"/>
            <family val="2"/>
          </rPr>
          <t xml:space="preserve">Percentual usado por estimativa (TCU, STF)
</t>
        </r>
      </text>
    </comment>
    <comment ref="O18" authorId="0">
      <text>
        <r>
          <rPr>
            <b/>
            <sz val="8"/>
            <color indexed="81"/>
            <rFont val="Tahoma"/>
            <family val="2"/>
          </rPr>
          <t>Art. 228 do Decreto 3000/99 - RIR/99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color indexed="81"/>
            <rFont val="Tahoma"/>
            <family val="2"/>
          </rPr>
          <t xml:space="preserve"> art. 228 do Decreto 3000/99, atualizado pela Lei 9430/96,(RIR/99 - Regulamento do Imposto de Renda)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color indexed="81"/>
            <rFont val="Tahoma"/>
            <family val="2"/>
          </rPr>
          <t>artigo 37 da Lei nº 10.637/02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O33" authorId="0">
      <text>
        <r>
          <rPr>
            <b/>
            <sz val="8"/>
            <color indexed="81"/>
            <rFont val="Tahoma"/>
            <family val="2"/>
          </rPr>
          <t>Lei nº 10637/02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O34" authorId="0">
      <text>
        <r>
          <rPr>
            <b/>
            <sz val="8"/>
            <color indexed="81"/>
            <rFont val="Tahoma"/>
            <family val="2"/>
          </rPr>
          <t xml:space="preserve">Lei nº 10833/04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Lei Nº 9430/96 - IN  SRP 480/2004</t>
        </r>
        <r>
          <rPr>
            <sz val="8"/>
            <color indexed="81"/>
            <rFont val="Tahoma"/>
            <family val="2"/>
          </rPr>
          <t xml:space="preserve">
Código 6190</t>
        </r>
      </text>
    </comment>
    <comment ref="O35" authorId="0">
      <text>
        <r>
          <rPr>
            <b/>
            <sz val="8"/>
            <color indexed="81"/>
            <rFont val="Tahoma"/>
            <family val="2"/>
          </rPr>
          <t xml:space="preserve">ISS retido conforme Lei Municipal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Retenção de 11%</t>
        </r>
        <r>
          <rPr>
            <sz val="8"/>
            <color indexed="81"/>
            <rFont val="Tahoma"/>
            <family val="2"/>
          </rPr>
          <t xml:space="preserve">
art. 31 da Lei nº 8.212/91</t>
        </r>
      </text>
    </comment>
    <comment ref="G39" authorId="0">
      <text>
        <r>
          <rPr>
            <sz val="8"/>
            <color indexed="81"/>
            <rFont val="Tahoma"/>
            <family val="2"/>
          </rPr>
          <t xml:space="preserve">Lei nº 9.539/97
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Valor Apurado do Grupo A - Inss Retido na NF, conforme § 1º  do art. 31 da Lei nº 8212/91</t>
        </r>
      </text>
    </comment>
    <comment ref="G43" authorId="0">
      <text>
        <r>
          <rPr>
            <sz val="8"/>
            <color indexed="81"/>
            <rFont val="Tahoma"/>
            <family val="2"/>
          </rPr>
          <t xml:space="preserve">Percentual usado por estimativa (TCU, STF)
</t>
        </r>
      </text>
    </comment>
    <comment ref="O43" authorId="0">
      <text>
        <r>
          <rPr>
            <b/>
            <sz val="8"/>
            <color indexed="81"/>
            <rFont val="Tahoma"/>
            <family val="2"/>
          </rPr>
          <t>Art. 228 do Decreto 3000/99 - RIR/99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0">
      <text>
        <r>
          <rPr>
            <b/>
            <sz val="8"/>
            <color indexed="81"/>
            <rFont val="Tahoma"/>
            <family val="2"/>
          </rPr>
          <t xml:space="preserve"> art. 228 do Decreto 3000/99, atualizado pela Lei 9430/96,(RIR/99 - Regulamento do Imposto de Renda)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5" authorId="0">
      <text>
        <r>
          <rPr>
            <b/>
            <sz val="8"/>
            <color indexed="81"/>
            <rFont val="Tahoma"/>
            <family val="2"/>
          </rPr>
          <t>artigo 37 da Lei nº 10.637/02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I1074249</author>
    <author>Cassia</author>
    <author>infra</author>
  </authors>
  <commentList>
    <comment ref="I4" authorId="0">
      <text>
        <r>
          <rPr>
            <sz val="8"/>
            <color indexed="81"/>
            <rFont val="Tahoma"/>
            <family val="2"/>
          </rPr>
          <t>Mínimo de 20% ou conforme Acordo Coletivo (art. 73 da CLT)</t>
        </r>
      </text>
    </comment>
    <comment ref="N4" authorId="1">
      <text>
        <r>
          <rPr>
            <sz val="8"/>
            <color indexed="81"/>
            <rFont val="Tahoma"/>
            <family val="2"/>
          </rPr>
          <t xml:space="preserve">Adicional usado apenas quando previsto em Convenção
</t>
        </r>
      </text>
    </comment>
    <comment ref="AR4" authorId="2">
      <text>
        <r>
          <rPr>
            <sz val="8"/>
            <color indexed="81"/>
            <rFont val="Tahoma"/>
            <family val="2"/>
          </rPr>
          <t>Adicional incidente sobre o total da remuneração</t>
        </r>
      </text>
    </comment>
    <comment ref="I6" authorId="0">
      <text>
        <r>
          <rPr>
            <sz val="8"/>
            <color indexed="81"/>
            <rFont val="Tahoma"/>
            <family val="2"/>
          </rPr>
          <t xml:space="preserve">Preencher apenas se houver Previsão em Convenção.
4 Domingos + 1 Feriado = </t>
        </r>
        <r>
          <rPr>
            <sz val="8"/>
            <color indexed="10"/>
            <rFont val="Tahoma"/>
            <family val="2"/>
          </rPr>
          <t>5</t>
        </r>
        <r>
          <rPr>
            <sz val="8"/>
            <color indexed="81"/>
            <rFont val="Tahoma"/>
            <family val="2"/>
          </rPr>
          <t xml:space="preserve"> dias</t>
        </r>
      </text>
    </comment>
    <comment ref="D8" authorId="1">
      <text>
        <r>
          <rPr>
            <sz val="8"/>
            <color indexed="81"/>
            <rFont val="Tahoma"/>
            <family val="2"/>
          </rPr>
          <t xml:space="preserve">1 empregado = 1 posto
</t>
        </r>
      </text>
    </comment>
    <comment ref="AJ8" authorId="0">
      <text>
        <r>
          <rPr>
            <sz val="8"/>
            <color indexed="81"/>
            <rFont val="Tahoma"/>
            <family val="2"/>
          </rPr>
          <t xml:space="preserve">Pagamento condicionado a Acordo Coletivo
</t>
        </r>
      </text>
    </comment>
    <comment ref="AN8" authorId="1">
      <text>
        <r>
          <rPr>
            <sz val="8"/>
            <color indexed="81"/>
            <rFont val="Tahoma"/>
            <family val="2"/>
          </rPr>
          <t xml:space="preserve">Preencher apenas para </t>
        </r>
        <r>
          <rPr>
            <sz val="8"/>
            <color indexed="10"/>
            <rFont val="Tahoma"/>
            <family val="2"/>
          </rPr>
          <t>ESCALA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com Folguista</t>
        </r>
        <r>
          <rPr>
            <sz val="8"/>
            <color indexed="81"/>
            <rFont val="Tahoma"/>
            <family val="2"/>
          </rPr>
          <t xml:space="preserve">)
</t>
        </r>
      </text>
    </comment>
    <comment ref="B11" authorId="2">
      <text>
        <r>
          <rPr>
            <sz val="8"/>
            <color indexed="81"/>
            <rFont val="Tahoma"/>
            <family val="2"/>
          </rPr>
          <t xml:space="preserve">As linhas e colunas desnecessárias podem ser ocultadas.
</t>
        </r>
        <r>
          <rPr>
            <sz val="8"/>
            <color indexed="10"/>
            <rFont val="Tahoma"/>
            <family val="2"/>
          </rPr>
          <t>Atenção: As linhas e colunas ocultadas devem estar sem dados.</t>
        </r>
      </text>
    </comment>
    <comment ref="F11" authorId="0">
      <text>
        <r>
          <rPr>
            <sz val="8"/>
            <color indexed="81"/>
            <rFont val="Tahoma"/>
            <family val="2"/>
          </rPr>
          <t xml:space="preserve">a) Empregados que trabalham no </t>
        </r>
        <r>
          <rPr>
            <u/>
            <sz val="8"/>
            <color indexed="81"/>
            <rFont val="Tahoma"/>
            <family val="2"/>
          </rPr>
          <t>expediente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Segunda a Sexta</t>
        </r>
        <r>
          <rPr>
            <sz val="8"/>
            <color indexed="81"/>
            <rFont val="Tahoma"/>
            <family val="2"/>
          </rPr>
          <t xml:space="preserve">) informar </t>
        </r>
        <r>
          <rPr>
            <sz val="8"/>
            <color indexed="10"/>
            <rFont val="Tahoma"/>
            <family val="2"/>
          </rPr>
          <t>21</t>
        </r>
        <r>
          <rPr>
            <sz val="8"/>
            <color indexed="81"/>
            <rFont val="Tahoma"/>
            <family val="2"/>
          </rPr>
          <t xml:space="preserve"> dias (30 dias art 64 da CLT - 4 domingos - 4 sábados - 1 feriado).
b) Empregados que trabalham no </t>
        </r>
        <r>
          <rPr>
            <u/>
            <sz val="8"/>
            <color indexed="81"/>
            <rFont val="Tahoma"/>
            <family val="2"/>
          </rPr>
          <t>expediente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Segunda a Sábado</t>
        </r>
        <r>
          <rPr>
            <sz val="8"/>
            <color indexed="81"/>
            <rFont val="Tahoma"/>
            <family val="2"/>
          </rPr>
          <t xml:space="preserve">) informar </t>
        </r>
        <r>
          <rPr>
            <sz val="8"/>
            <color indexed="10"/>
            <rFont val="Tahoma"/>
            <family val="2"/>
          </rPr>
          <t>25</t>
        </r>
        <r>
          <rPr>
            <sz val="8"/>
            <color indexed="81"/>
            <rFont val="Tahoma"/>
            <family val="2"/>
          </rPr>
          <t xml:space="preserve"> dias (30 dias art 64 da CLT - 4 domingos - 1 feriado).
c) Empregados que trabalham no </t>
        </r>
        <r>
          <rPr>
            <u/>
            <sz val="8"/>
            <color indexed="81"/>
            <rFont val="Tahoma"/>
            <family val="2"/>
          </rPr>
          <t xml:space="preserve">Escala de Revezamento </t>
        </r>
        <r>
          <rPr>
            <sz val="8"/>
            <color indexed="81"/>
            <rFont val="Tahoma"/>
            <family val="2"/>
          </rPr>
          <t>(</t>
        </r>
        <r>
          <rPr>
            <sz val="8"/>
            <color indexed="10"/>
            <rFont val="Tahoma"/>
            <family val="2"/>
          </rPr>
          <t>com folguista</t>
        </r>
        <r>
          <rPr>
            <sz val="8"/>
            <color indexed="81"/>
            <rFont val="Tahoma"/>
            <family val="2"/>
          </rPr>
          <t>) informar</t>
        </r>
        <r>
          <rPr>
            <sz val="8"/>
            <color indexed="10"/>
            <rFont val="Tahoma"/>
            <family val="2"/>
          </rPr>
          <t xml:space="preserve"> 30</t>
        </r>
        <r>
          <rPr>
            <sz val="8"/>
            <color indexed="81"/>
            <rFont val="Tahoma"/>
            <family val="2"/>
          </rPr>
          <t xml:space="preserve"> dias art 64 da CLT .
d) Empregados que trabalham na </t>
        </r>
        <r>
          <rPr>
            <u/>
            <sz val="8"/>
            <color indexed="81"/>
            <rFont val="Tahoma"/>
            <family val="2"/>
          </rPr>
          <t>Escala de Revezamento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>sem folguista</t>
        </r>
        <r>
          <rPr>
            <sz val="8"/>
            <color indexed="81"/>
            <rFont val="Tahoma"/>
            <family val="2"/>
          </rPr>
          <t xml:space="preserve">) informar os dias trabalhados, por exemplo:
3 x 1 = </t>
        </r>
        <r>
          <rPr>
            <sz val="8"/>
            <color indexed="10"/>
            <rFont val="Tahoma"/>
            <family val="2"/>
          </rPr>
          <t>23</t>
        </r>
        <r>
          <rPr>
            <sz val="8"/>
            <color indexed="81"/>
            <rFont val="Tahoma"/>
            <family val="2"/>
          </rPr>
          <t xml:space="preserve"> dias 
4 x 1 = </t>
        </r>
        <r>
          <rPr>
            <sz val="8"/>
            <color indexed="10"/>
            <rFont val="Tahoma"/>
            <family val="2"/>
          </rPr>
          <t>24</t>
        </r>
        <r>
          <rPr>
            <sz val="8"/>
            <color indexed="81"/>
            <rFont val="Tahoma"/>
            <family val="2"/>
          </rPr>
          <t xml:space="preserve"> dias
5 x 1 = </t>
        </r>
        <r>
          <rPr>
            <sz val="8"/>
            <color indexed="10"/>
            <rFont val="Tahoma"/>
            <family val="2"/>
          </rPr>
          <t>25</t>
        </r>
        <r>
          <rPr>
            <sz val="8"/>
            <color indexed="81"/>
            <rFont val="Tahoma"/>
            <family val="2"/>
          </rPr>
          <t xml:space="preserve"> dias
6 x 1 = </t>
        </r>
        <r>
          <rPr>
            <sz val="8"/>
            <color indexed="10"/>
            <rFont val="Tahoma"/>
            <family val="2"/>
          </rPr>
          <t>26</t>
        </r>
        <r>
          <rPr>
            <sz val="8"/>
            <color indexed="81"/>
            <rFont val="Tahoma"/>
            <family val="2"/>
          </rPr>
          <t xml:space="preserve"> dias
3 x 2 = </t>
        </r>
        <r>
          <rPr>
            <sz val="8"/>
            <color indexed="10"/>
            <rFont val="Tahoma"/>
            <family val="2"/>
          </rPr>
          <t>18</t>
        </r>
        <r>
          <rPr>
            <sz val="8"/>
            <color indexed="81"/>
            <rFont val="Tahoma"/>
            <family val="2"/>
          </rPr>
          <t xml:space="preserve"> dias
12 x 36 ou 1 x 1 = </t>
        </r>
        <r>
          <rPr>
            <sz val="8"/>
            <color indexed="10"/>
            <rFont val="Tahoma"/>
            <family val="2"/>
          </rPr>
          <t>15</t>
        </r>
        <r>
          <rPr>
            <sz val="8"/>
            <color indexed="81"/>
            <rFont val="Tahoma"/>
            <family val="2"/>
          </rPr>
          <t xml:space="preserve"> dias .
</t>
        </r>
        <r>
          <rPr>
            <sz val="8"/>
            <color indexed="10"/>
            <rFont val="Tahoma"/>
            <family val="2"/>
          </rPr>
          <t>Ver cálculos no final dessa planilha.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8"/>
            <color indexed="81"/>
            <rFont val="Tahoma"/>
            <family val="2"/>
          </rPr>
          <t>Digitar= hh:mm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1">
      <text>
        <r>
          <rPr>
            <b/>
            <sz val="8"/>
            <color indexed="81"/>
            <rFont val="Tahoma"/>
            <family val="2"/>
          </rPr>
          <t xml:space="preserve">a) Base de cálculo Jornada Normal (expediente):
</t>
        </r>
        <r>
          <rPr>
            <b/>
            <sz val="8"/>
            <color indexed="10"/>
            <rFont val="Tahoma"/>
            <family val="2"/>
          </rPr>
          <t>220</t>
        </r>
        <r>
          <rPr>
            <sz val="8"/>
            <color indexed="81"/>
            <rFont val="Tahoma"/>
            <family val="2"/>
          </rPr>
          <t xml:space="preserve"> (Inciso XIII do art. 7º da CF)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b) Base de cálculo Jornada Revezamento (Escala):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180</t>
        </r>
        <r>
          <rPr>
            <sz val="8"/>
            <color indexed="81"/>
            <rFont val="Tahoma"/>
            <family val="2"/>
          </rPr>
          <t xml:space="preserve"> (Inciso XIV do art. 7º da CF)
</t>
        </r>
        <r>
          <rPr>
            <b/>
            <sz val="8"/>
            <color indexed="81"/>
            <rFont val="Tahoma"/>
            <family val="2"/>
          </rPr>
          <t>b) Base de cálculo Jornada Médico (Escala):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120 </t>
        </r>
        <r>
          <rPr>
            <sz val="8"/>
            <color indexed="81"/>
            <rFont val="Tahoma"/>
            <family val="2"/>
          </rPr>
          <t xml:space="preserve">(art.8º da Lei 3.999/61)
</t>
        </r>
        <r>
          <rPr>
            <b/>
            <sz val="8"/>
            <color indexed="10"/>
            <rFont val="Tahoma"/>
            <family val="2"/>
          </rPr>
          <t>LEMBRETE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>1)</t>
        </r>
        <r>
          <rPr>
            <sz val="8"/>
            <color indexed="81"/>
            <rFont val="Tahoma"/>
            <family val="2"/>
          </rPr>
          <t xml:space="preserve"> A maioria da Convenções alteram a Jornada de trabalho e </t>
        </r>
        <r>
          <rPr>
            <b/>
            <sz val="8"/>
            <color indexed="81"/>
            <rFont val="Tahoma"/>
            <family val="2"/>
          </rPr>
          <t>não</t>
        </r>
        <r>
          <rPr>
            <sz val="8"/>
            <color indexed="81"/>
            <rFont val="Tahoma"/>
            <family val="2"/>
          </rPr>
          <t xml:space="preserve"> a </t>
        </r>
        <r>
          <rPr>
            <b/>
            <sz val="8"/>
            <color indexed="81"/>
            <rFont val="Tahoma"/>
            <family val="2"/>
          </rPr>
          <t>Base de Cálculo. 
2)</t>
        </r>
        <r>
          <rPr>
            <sz val="8"/>
            <color indexed="81"/>
            <rFont val="Tahoma"/>
            <family val="2"/>
          </rPr>
          <t xml:space="preserve"> Apesar de raro,  as Convenções podem alterar a Base de cálculo, porém deverá está expresso e não ultrapassar as 220 horas.</t>
        </r>
      </text>
    </comment>
    <comment ref="N11" authorId="1">
      <text>
        <r>
          <rPr>
            <sz val="8"/>
            <color indexed="81"/>
            <rFont val="Tahoma"/>
            <family val="2"/>
          </rPr>
          <t xml:space="preserve">Deverá ser diferente </t>
        </r>
        <r>
          <rPr>
            <sz val="8"/>
            <color indexed="10"/>
            <rFont val="Tahoma"/>
            <family val="2"/>
          </rPr>
          <t>somente</t>
        </r>
        <r>
          <rPr>
            <sz val="8"/>
            <color indexed="81"/>
            <rFont val="Tahoma"/>
            <family val="2"/>
          </rPr>
          <t xml:space="preserve"> se houver contratação </t>
        </r>
        <r>
          <rPr>
            <sz val="8"/>
            <color indexed="10"/>
            <rFont val="Tahoma"/>
            <family val="2"/>
          </rPr>
          <t xml:space="preserve">por hora </t>
        </r>
        <r>
          <rPr>
            <sz val="8"/>
            <color indexed="81"/>
            <rFont val="Tahoma"/>
            <family val="2"/>
          </rPr>
          <t xml:space="preserve">ou </t>
        </r>
        <r>
          <rPr>
            <sz val="8"/>
            <color indexed="10"/>
            <rFont val="Tahoma"/>
            <family val="2"/>
          </rPr>
          <t>fracionada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P11" authorId="0">
      <text>
        <r>
          <rPr>
            <b/>
            <sz val="8"/>
            <color indexed="81"/>
            <rFont val="Tahoma"/>
            <family val="2"/>
          </rPr>
          <t>Campo numérico.</t>
        </r>
        <r>
          <rPr>
            <sz val="8"/>
            <color indexed="81"/>
            <rFont val="Tahoma"/>
            <family val="2"/>
          </rPr>
          <t xml:space="preserve">
Ex.: 00:20 inserir 0,30
        01:30 inserir 1,50
Deverá ser preenchido apenas horas correspondentes "Relógio" a Hora Reduzida (§ 1º do art. 73 da CLT) será calculado no Adicional da Coluna 16.
Por Exemplo (§ 2º do art. 73 da CLT):
Trabalho das 22:00 às 5:00 =</t>
        </r>
        <r>
          <rPr>
            <b/>
            <sz val="8"/>
            <color indexed="10"/>
            <rFont val="Tahoma"/>
            <family val="2"/>
          </rPr>
          <t xml:space="preserve"> 7</t>
        </r>
        <r>
          <rPr>
            <sz val="8"/>
            <color indexed="81"/>
            <rFont val="Tahoma"/>
            <family val="2"/>
          </rPr>
          <t xml:space="preserve"> horas noturnas
Hora Reduzida (calculada na coluna 16) 
7 horas x 7,5 minutos = 52,5 = 1 hora Noturna 
</t>
        </r>
      </text>
    </comment>
    <comment ref="T11" authorId="0">
      <text>
        <r>
          <rPr>
            <sz val="8"/>
            <color indexed="81"/>
            <rFont val="Tahoma"/>
            <family val="2"/>
          </rPr>
          <t>Inserir o Valor :
a) Sálario Mínimo da Região art. 192 da CLT;
b) Salário Mínimo Nacional art. 79 da CLT e  OJ SDI-I TRANS. 33 - TST.
c) Laudo Pericial - OJ SDI-I  278 - TST c/c art. 195 da CLT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0">
      <text>
        <r>
          <rPr>
            <sz val="10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 xml:space="preserve"> = 10%, 20% ou 40%
</t>
        </r>
        <r>
          <rPr>
            <sz val="10"/>
            <color indexed="81"/>
            <rFont val="Tahoma"/>
            <family val="2"/>
          </rPr>
          <t xml:space="preserve">P </t>
        </r>
        <r>
          <rPr>
            <sz val="8"/>
            <color indexed="81"/>
            <rFont val="Tahoma"/>
            <family val="2"/>
          </rPr>
          <t xml:space="preserve">= 30%
</t>
        </r>
      </text>
    </comment>
    <comment ref="X11" authorId="0">
      <text>
        <r>
          <rPr>
            <sz val="8"/>
            <color indexed="81"/>
            <rFont val="Tahoma"/>
            <family val="2"/>
          </rPr>
          <t xml:space="preserve">P= Periculosidade
I= Insalubridade
</t>
        </r>
      </text>
    </comment>
    <comment ref="Z11" authorId="0">
      <text>
        <r>
          <rPr>
            <sz val="8"/>
            <color indexed="81"/>
            <rFont val="Tahoma"/>
            <family val="2"/>
          </rPr>
          <t>PagamentoCondicionado ao Laudo Técnico Pericial art. 195 da CLT.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1" authorId="1">
      <text>
        <r>
          <rPr>
            <sz val="8"/>
            <color indexed="81"/>
            <rFont val="Tahoma"/>
            <family val="2"/>
          </rPr>
          <t xml:space="preserve">Art 73 da CLT 
[(Salário + Adicionais)/Base de cálculo ] x Adicional Noturno = ADH
ADH x dias Trabalhados x horas Noturnas diárias = </t>
        </r>
        <r>
          <rPr>
            <sz val="8"/>
            <color indexed="10"/>
            <rFont val="Tahoma"/>
            <family val="2"/>
          </rPr>
          <t xml:space="preserve">Adicional Noturno Mensal
</t>
        </r>
        <r>
          <rPr>
            <sz val="8"/>
            <color indexed="81"/>
            <rFont val="Tahoma"/>
            <family val="2"/>
          </rPr>
          <t xml:space="preserve">Por exemplo:
(R$ 2.200 / 220 ) x 20% = R$ 2,00 
7 horas x 22 dias x R$ 2,00 = R$ 308,00
</t>
        </r>
        <r>
          <rPr>
            <sz val="8"/>
            <color indexed="10"/>
            <rFont val="Tahoma"/>
            <family val="2"/>
          </rPr>
          <t xml:space="preserve">Adicional Noturno = R$ 308,00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1" authorId="1">
      <text>
        <r>
          <rPr>
            <sz val="8"/>
            <color indexed="81"/>
            <rFont val="Tahoma"/>
            <family val="2"/>
          </rPr>
          <t xml:space="preserve">§ 1º do art.73:
(Horas Noturnas Diárias x 7,5 x Dias trabalhados no mês)/52,5 = </t>
        </r>
        <r>
          <rPr>
            <sz val="8"/>
            <color indexed="10"/>
            <rFont val="Tahoma"/>
            <family val="2"/>
          </rPr>
          <t>Hora Noturna Reduzida - HNR</t>
        </r>
        <r>
          <rPr>
            <sz val="8"/>
            <color indexed="81"/>
            <rFont val="Tahoma"/>
            <family val="2"/>
          </rPr>
          <t xml:space="preserve">
HNR x (100% (valor da hora Normal) + Adicional Noturno % = Adicional de Hora Reduzida.
Por Exemplo:
R$ 2.200/220 = R$ 10,00 = 100%
R$ 10,00 x 20% = R$ 2,00 = 20% Ad. Noturno
(7 horas x 22 dias x 7,5)/52,5 = 22 horas
22 horas x (100% + 20%)
22 horas x R$ 12,00 = R$ 254,00
</t>
        </r>
        <r>
          <rPr>
            <sz val="8"/>
            <color indexed="10"/>
            <rFont val="Tahoma"/>
            <family val="2"/>
          </rPr>
          <t>Adicional de hora noturna Reduzida = R$ 254,00</t>
        </r>
      </text>
    </comment>
    <comment ref="AH11" authorId="0">
      <text>
        <r>
          <rPr>
            <sz val="8"/>
            <color indexed="10"/>
            <rFont val="Tahoma"/>
            <family val="2"/>
          </rPr>
          <t>LEMBRETE:</t>
        </r>
        <r>
          <rPr>
            <sz val="8"/>
            <color indexed="81"/>
            <rFont val="Tahoma"/>
            <family val="2"/>
          </rPr>
          <t xml:space="preserve">
a) Para os mensalistas o DSR já está contemplado no salário (alínea "d" § 2º do art. 7º da Lei 605/49).
b) Porém, algumas Convenções estabelecem para </t>
        </r>
        <r>
          <rPr>
            <sz val="8"/>
            <color indexed="10"/>
            <rFont val="Tahoma"/>
            <family val="2"/>
          </rPr>
          <t xml:space="preserve">ESCALA DE REVEZAMENTO </t>
        </r>
        <r>
          <rPr>
            <sz val="8"/>
            <color indexed="81"/>
            <rFont val="Tahoma"/>
            <family val="2"/>
          </rPr>
          <t xml:space="preserve">  pagamento de trabalhos realizados em domingos e feriados.
OBS:
Branco = DSR não definido na Convenção ou </t>
        </r>
        <r>
          <rPr>
            <sz val="8"/>
            <color indexed="10"/>
            <rFont val="Tahoma"/>
            <family val="2"/>
          </rPr>
          <t>JORNADA NORMAL</t>
        </r>
        <r>
          <rPr>
            <sz val="8"/>
            <color indexed="81"/>
            <rFont val="Tahoma"/>
            <family val="2"/>
          </rPr>
          <t xml:space="preserve"> - expediente (</t>
        </r>
        <r>
          <rPr>
            <sz val="8"/>
            <color indexed="10"/>
            <rFont val="Tahoma"/>
            <family val="2"/>
          </rPr>
          <t>segunda a sexta</t>
        </r>
        <r>
          <rPr>
            <sz val="8"/>
            <color indexed="81"/>
            <rFont val="Tahoma"/>
            <family val="2"/>
          </rPr>
          <t xml:space="preserve"> ou </t>
        </r>
        <r>
          <rPr>
            <sz val="8"/>
            <color indexed="10"/>
            <rFont val="Tahoma"/>
            <family val="2"/>
          </rPr>
          <t>segunda a sábado</t>
        </r>
        <r>
          <rPr>
            <sz val="8"/>
            <color indexed="81"/>
            <rFont val="Tahoma"/>
            <family val="2"/>
          </rPr>
          <t xml:space="preserve">)
</t>
        </r>
        <r>
          <rPr>
            <sz val="8"/>
            <color indexed="12"/>
            <rFont val="Tahoma"/>
            <family val="2"/>
          </rPr>
          <t xml:space="preserve">OPÇÃO 1  </t>
        </r>
        <r>
          <rPr>
            <sz val="8"/>
            <color indexed="10"/>
            <rFont val="Tahoma"/>
            <family val="2"/>
          </rPr>
          <t>(NÃO USAR)</t>
        </r>
        <r>
          <rPr>
            <sz val="8"/>
            <color indexed="81"/>
            <rFont val="Tahoma"/>
            <family val="2"/>
          </rPr>
          <t xml:space="preserve">
(Hora Not. Red.)/ horas mês X hora reduzida 
</t>
        </r>
        <r>
          <rPr>
            <sz val="8"/>
            <color indexed="12"/>
            <rFont val="Tahoma"/>
            <family val="2"/>
          </rPr>
          <t xml:space="preserve">OPÇÃO 2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4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 xml:space="preserve">( O MAIS FREQÜÊNTE) INCLUI A  CCT DOS AEROVIÁRIOS    </t>
        </r>
        <r>
          <rPr>
            <sz val="8"/>
            <color indexed="81"/>
            <rFont val="Tahoma"/>
            <family val="2"/>
          </rPr>
          <t xml:space="preserve">
Remuneração / Dias Úteis X Dom. e Feriados
</t>
        </r>
        <r>
          <rPr>
            <sz val="8"/>
            <color indexed="12"/>
            <rFont val="Tahoma"/>
            <family val="2"/>
          </rPr>
          <t>OPÇÃO 3 (MUITO RARO) APENAS 1 CONVENÇÕES USA</t>
        </r>
        <r>
          <rPr>
            <sz val="8"/>
            <color indexed="81"/>
            <rFont val="Tahoma"/>
            <family val="2"/>
          </rPr>
          <t xml:space="preserve">
(Hora Not. Red.)+(Adicional Noturno) + % ACT/ 25 x 5
</t>
        </r>
        <r>
          <rPr>
            <sz val="8"/>
            <color indexed="12"/>
            <rFont val="Tahoma"/>
            <family val="2"/>
          </rPr>
          <t xml:space="preserve">OPÇÃO 4  (MUITO RARO) APENAS 2 CONVENÇÕES USAM </t>
        </r>
        <r>
          <rPr>
            <sz val="8"/>
            <color indexed="81"/>
            <rFont val="Tahoma"/>
            <family val="2"/>
          </rPr>
          <t xml:space="preserve">(Remuneração / Dias Úteis x Dom. e Fer. ) + (Remuneração / Dias Úteis X Dom. e Fer.) X % ACT
</t>
        </r>
        <r>
          <rPr>
            <sz val="8"/>
            <color indexed="12"/>
            <rFont val="Tahoma"/>
            <family val="2"/>
          </rPr>
          <t xml:space="preserve">OPÇÃO 5  </t>
        </r>
        <r>
          <rPr>
            <sz val="8"/>
            <color indexed="10"/>
            <rFont val="Tahoma"/>
            <family val="2"/>
          </rPr>
          <t xml:space="preserve">(NÃO USAR) 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 (SALÁRIO BASE/TOTAL DE HORAS) X  ADICIONAL DE DSR X DIAS TRABALHADOS</t>
        </r>
      </text>
    </comment>
    <comment ref="AJ11" authorId="1">
      <text>
        <r>
          <rPr>
            <b/>
            <sz val="8"/>
            <color indexed="81"/>
            <rFont val="Tahoma"/>
            <family val="2"/>
          </rPr>
          <t>Para Previsão de domingos e feriados:</t>
        </r>
        <r>
          <rPr>
            <sz val="8"/>
            <color indexed="81"/>
            <rFont val="Tahoma"/>
            <family val="2"/>
          </rPr>
          <t xml:space="preserve">
O DSR será calculado somando o salário e todos adicionais até a coluna 16 "divido"por 25 dias x 5 dias ( 4 domingos e 1 feriado).
</t>
        </r>
      </text>
    </comment>
    <comment ref="AL11" authorId="1">
      <text>
        <r>
          <rPr>
            <sz val="8"/>
            <color indexed="81"/>
            <rFont val="Tahoma"/>
            <family val="2"/>
          </rPr>
          <t>Adicionais que não afetam o DSR, Adicional Noturno e Adicional de Hora Noturna Reduzida.</t>
        </r>
      </text>
    </comment>
    <comment ref="AN11" authorId="0">
      <text>
        <r>
          <rPr>
            <sz val="7"/>
            <color indexed="81"/>
            <rFont val="Tahoma"/>
            <family val="2"/>
          </rPr>
          <t xml:space="preserve">Quatidade de dias Trabalhados em seguida sem folga.
Por exemplo:
</t>
        </r>
        <r>
          <rPr>
            <sz val="7"/>
            <color indexed="10"/>
            <rFont val="Tahoma"/>
            <family val="2"/>
          </rPr>
          <t>5 dias Trabalhados</t>
        </r>
        <r>
          <rPr>
            <sz val="7"/>
            <color indexed="81"/>
            <rFont val="Tahoma"/>
            <family val="2"/>
          </rPr>
          <t xml:space="preserve"> por 1 de folga; ou 5 x 1.
Para escala 12 x 36 deverá ser usado 1  x  1.
</t>
        </r>
      </text>
    </comment>
    <comment ref="AP11" authorId="0">
      <text>
        <r>
          <rPr>
            <sz val="7"/>
            <color indexed="81"/>
            <rFont val="Tahoma"/>
            <family val="2"/>
          </rPr>
          <t xml:space="preserve">Quatidade de dias de folgas seguidas .
Por exemplo:
5 dias Trabalhados por </t>
        </r>
        <r>
          <rPr>
            <sz val="7"/>
            <color indexed="10"/>
            <rFont val="Tahoma"/>
            <family val="2"/>
          </rPr>
          <t>1 de folga;</t>
        </r>
        <r>
          <rPr>
            <sz val="7"/>
            <color indexed="81"/>
            <rFont val="Tahoma"/>
            <family val="2"/>
          </rPr>
          <t xml:space="preserve"> ou 5 x </t>
        </r>
        <r>
          <rPr>
            <sz val="7"/>
            <color indexed="10"/>
            <rFont val="Tahoma"/>
            <family val="2"/>
          </rPr>
          <t xml:space="preserve">1 </t>
        </r>
        <r>
          <rPr>
            <sz val="7"/>
            <color indexed="81"/>
            <rFont val="Tahoma"/>
            <family val="2"/>
          </rPr>
          <t xml:space="preserve">.
3 dias Trabalhados por </t>
        </r>
        <r>
          <rPr>
            <sz val="7"/>
            <color indexed="10"/>
            <rFont val="Tahoma"/>
            <family val="2"/>
          </rPr>
          <t>2 de folga;</t>
        </r>
        <r>
          <rPr>
            <sz val="7"/>
            <color indexed="81"/>
            <rFont val="Tahoma"/>
            <family val="2"/>
          </rPr>
          <t xml:space="preserve"> ou 3 x </t>
        </r>
        <r>
          <rPr>
            <sz val="7"/>
            <color indexed="10"/>
            <rFont val="Tahoma"/>
            <family val="2"/>
          </rPr>
          <t xml:space="preserve">2 </t>
        </r>
        <r>
          <rPr>
            <sz val="7"/>
            <color indexed="81"/>
            <rFont val="Tahoma"/>
            <family val="2"/>
          </rPr>
          <t xml:space="preserve">.
Para escala 12 x 36 deverá ser usado 1  x  1.
</t>
        </r>
      </text>
    </comment>
    <comment ref="AR11" authorId="1">
      <text>
        <r>
          <rPr>
            <b/>
            <sz val="8"/>
            <color indexed="81"/>
            <rFont val="Tahoma"/>
            <family val="2"/>
          </rPr>
          <t xml:space="preserve">Será previsto para o Folguista os dias de Folgas a serem trabalhados.
LEMBRETE:
</t>
        </r>
        <r>
          <rPr>
            <sz val="8"/>
            <color indexed="81"/>
            <rFont val="Tahoma"/>
            <family val="2"/>
          </rPr>
          <t xml:space="preserve"> No cálculo do valor do Folguista não foi considerado o Adicional Noturno, Hora Noturna Reduzida e DSR (dobro), pois na planilha do Efetivo foi orçado 30 dias (art. 64 da CLT) contemplando assim os dias do Folguistas.
</t>
        </r>
        <r>
          <rPr>
            <b/>
            <sz val="8"/>
            <color indexed="81"/>
            <rFont val="Tahoma"/>
            <family val="2"/>
          </rPr>
          <t>Por Exemplo:</t>
        </r>
        <r>
          <rPr>
            <sz val="8"/>
            <color indexed="81"/>
            <rFont val="Tahoma"/>
            <family val="2"/>
          </rPr>
          <t xml:space="preserve">
Escala 5x1 ( 25 dias para os Empregados + 5 dias do Folguista = 30 dias)</t>
        </r>
      </text>
    </comment>
    <comment ref="AT11" authorId="1">
      <text>
        <r>
          <rPr>
            <sz val="8"/>
            <color indexed="10"/>
            <rFont val="Tahoma"/>
            <family val="2"/>
          </rPr>
          <t>1) Adicional de Intrajornada</t>
        </r>
        <r>
          <rPr>
            <sz val="8"/>
            <color indexed="81"/>
            <rFont val="Tahoma"/>
            <family val="2"/>
          </rPr>
          <t xml:space="preserve">
É inválida claúsula de Adicional de Intrajornada ( Orientação Jurisprudencial SDI-1 do TST Nº 342). Nesse caso deverá ser orçado o Folguista Rendição.
</t>
        </r>
        <r>
          <rPr>
            <sz val="8"/>
            <color indexed="10"/>
            <rFont val="Tahoma"/>
            <family val="2"/>
          </rPr>
          <t>2) Folguista Rendição.</t>
        </r>
        <r>
          <rPr>
            <sz val="8"/>
            <color indexed="81"/>
            <rFont val="Tahoma"/>
            <family val="2"/>
          </rPr>
          <t xml:space="preserve">
Será orçado somente se a jornada de escala for superior a 6 horas e o posto não puder ficar descoberto nesse período.
Art. 71 da CLT.
</t>
        </r>
        <r>
          <rPr>
            <sz val="8"/>
            <color indexed="10"/>
            <rFont val="Tahoma"/>
            <family val="2"/>
          </rPr>
          <t>NOTA</t>
        </r>
        <r>
          <rPr>
            <sz val="8"/>
            <color indexed="81"/>
            <rFont val="Tahoma"/>
            <family val="2"/>
          </rPr>
          <t xml:space="preserve">
a) Previsão condicionada a preenchimento da planilha PF.
b) Folguista de rendição diária para descanso previsto em lei.</t>
        </r>
      </text>
    </comment>
    <comment ref="AV11" authorId="0">
      <text>
        <r>
          <rPr>
            <sz val="8"/>
            <color indexed="81"/>
            <rFont val="Tahoma"/>
            <family val="2"/>
          </rPr>
          <t xml:space="preserve">Previsão de número de folguistas
Valor arredondado ao Final do Somatório.
</t>
        </r>
      </text>
    </comment>
    <comment ref="AX11" authorId="2">
      <text>
        <r>
          <rPr>
            <sz val="8"/>
            <color indexed="81"/>
            <rFont val="Tahoma"/>
            <family val="2"/>
          </rPr>
          <t xml:space="preserve">Adicionais que não afetam o DSR, Adicional Noturno e Adicional de Hora Noturna Reduzida e
possuem Encargos Sociais Diferenciados.
 </t>
        </r>
      </text>
    </comment>
    <comment ref="R56" authorId="2">
      <text>
        <r>
          <rPr>
            <sz val="8"/>
            <color indexed="81"/>
            <rFont val="Tahoma"/>
            <family val="2"/>
          </rPr>
          <t>Remuneração x                        Qtd de empregados</t>
        </r>
      </text>
    </comment>
  </commentList>
</comments>
</file>

<file path=xl/comments3.xml><?xml version="1.0" encoding="utf-8"?>
<comments xmlns="http://schemas.openxmlformats.org/spreadsheetml/2006/main">
  <authors>
    <author>I1074249</author>
    <author>infra</author>
    <author>Cassia</author>
  </authors>
  <commentList>
    <comment ref="L6" authorId="0">
      <text>
        <r>
          <rPr>
            <sz val="8"/>
            <color indexed="81"/>
            <rFont val="Tahoma"/>
            <family val="2"/>
          </rPr>
          <t xml:space="preserve">Quantidade de dias trabalhados
</t>
        </r>
      </text>
    </comment>
    <comment ref="D8" authorId="1">
      <text>
        <r>
          <rPr>
            <sz val="8"/>
            <color indexed="81"/>
            <rFont val="Tahoma"/>
            <family val="2"/>
          </rPr>
          <t>Base de cálculo para  efeito de reembolso (art.4º da Lei 7.418/85), salvo CCT.</t>
        </r>
      </text>
    </comment>
    <comment ref="H8" authorId="0">
      <text>
        <r>
          <rPr>
            <sz val="8"/>
            <color indexed="81"/>
            <rFont val="Tahoma"/>
            <family val="2"/>
          </rPr>
          <t xml:space="preserve">Qtd utilizada para o deslocamento de ida e volta ao trabalho
</t>
        </r>
      </text>
    </comment>
    <comment ref="I8" authorId="0">
      <text>
        <r>
          <rPr>
            <sz val="8"/>
            <color indexed="81"/>
            <rFont val="Tahoma"/>
            <family val="2"/>
          </rPr>
          <t xml:space="preserve">Custo de 1 vale
</t>
        </r>
      </text>
    </comment>
    <comment ref="J8" authorId="1">
      <text>
        <r>
          <rPr>
            <sz val="8"/>
            <color indexed="10"/>
            <rFont val="Tahoma"/>
            <family val="2"/>
          </rPr>
          <t>Transporte:</t>
        </r>
        <r>
          <rPr>
            <sz val="8"/>
            <color indexed="81"/>
            <rFont val="Tahoma"/>
            <family val="2"/>
          </rPr>
          <t xml:space="preserve">
Máximo  </t>
        </r>
        <r>
          <rPr>
            <sz val="8"/>
            <color indexed="10"/>
            <rFont val="Tahoma"/>
            <family val="2"/>
          </rPr>
          <t>6%</t>
        </r>
        <r>
          <rPr>
            <sz val="8"/>
            <color indexed="81"/>
            <rFont val="Tahoma"/>
            <family val="2"/>
          </rPr>
          <t xml:space="preserve"> sobre salário base conforme
art. 4º da Lei 7.418/85.
Salvo Convenção Coletiva de Trabalho</t>
        </r>
      </text>
    </comment>
    <comment ref="P8" authorId="0">
      <text>
        <r>
          <rPr>
            <sz val="8"/>
            <color indexed="81"/>
            <rFont val="Tahoma"/>
            <family val="2"/>
          </rPr>
          <t>Participação de no máximo 6% sobre a remuneração.
(art.4º da Lei 7.418/85)</t>
        </r>
      </text>
    </comment>
    <comment ref="T8" authorId="0">
      <text>
        <r>
          <rPr>
            <sz val="8"/>
            <color indexed="81"/>
            <rFont val="Tahoma"/>
            <family val="2"/>
          </rPr>
          <t>Qtd. de dias trabalhados ou qtd informada no ACT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2">
      <text>
        <r>
          <rPr>
            <sz val="8"/>
            <color indexed="81"/>
            <rFont val="Tahoma"/>
            <family val="2"/>
          </rPr>
          <t xml:space="preserve">Custo de 1 vale
</t>
        </r>
      </text>
    </comment>
    <comment ref="V8" authorId="1">
      <text>
        <r>
          <rPr>
            <sz val="8"/>
            <color indexed="10"/>
            <rFont val="Tahoma"/>
            <family val="2"/>
          </rPr>
          <t>Vale Alimentação:</t>
        </r>
        <r>
          <rPr>
            <sz val="8"/>
            <color indexed="81"/>
            <rFont val="Tahoma"/>
            <family val="2"/>
          </rPr>
          <t xml:space="preserve">
Máximo: </t>
        </r>
        <r>
          <rPr>
            <sz val="8"/>
            <color indexed="10"/>
            <rFont val="Tahoma"/>
            <family val="2"/>
          </rPr>
          <t>20%</t>
        </r>
        <r>
          <rPr>
            <sz val="8"/>
            <color indexed="81"/>
            <rFont val="Tahoma"/>
            <family val="2"/>
          </rPr>
          <t xml:space="preserve"> sobre o valor de face do vale conforme
§ 1º do art. 2º da Decreto 5/91
Salvo Convenção Coletiva de Trabalho.
</t>
        </r>
        <r>
          <rPr>
            <sz val="8"/>
            <color indexed="10"/>
            <rFont val="Tahoma"/>
            <family val="2"/>
          </rPr>
          <t>Alimentação Pronta:</t>
        </r>
        <r>
          <rPr>
            <sz val="8"/>
            <color indexed="81"/>
            <rFont val="Tahoma"/>
            <family val="2"/>
          </rPr>
          <t xml:space="preserve">
Máximo de </t>
        </r>
        <r>
          <rPr>
            <sz val="8"/>
            <color indexed="10"/>
            <rFont val="Tahoma"/>
            <family val="2"/>
          </rPr>
          <t>25%</t>
        </r>
        <r>
          <rPr>
            <sz val="8"/>
            <color indexed="81"/>
            <rFont val="Tahoma"/>
            <family val="2"/>
          </rPr>
          <t xml:space="preserve"> sobre salários mínimo Lei nº 3030/56
Salvo Convenção Coletiva de Trabalho.</t>
        </r>
      </text>
    </comment>
    <comment ref="X8" authorId="0">
      <text>
        <r>
          <rPr>
            <sz val="8"/>
            <color indexed="81"/>
            <rFont val="Tahoma"/>
            <family val="2"/>
          </rPr>
          <t>Participação referente ao custo unitário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AJ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AR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AZ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  <comment ref="BH8" authorId="0">
      <text>
        <r>
          <rPr>
            <sz val="8"/>
            <color indexed="81"/>
            <rFont val="Tahoma"/>
            <family val="2"/>
          </rPr>
          <t>Qtd. de Empregados 
+ Folguistas  (Se houver)+ Folguistas de Folga Agrupada (Se houver)</t>
        </r>
      </text>
    </comment>
    <comment ref="BP8" authorId="0">
      <text>
        <r>
          <rPr>
            <sz val="8"/>
            <color indexed="81"/>
            <rFont val="Tahoma"/>
            <family val="2"/>
          </rPr>
          <t xml:space="preserve">Qtd. de Empregados 
+ Folguistas  (Se houver)+ Folguistas de Folga Agrupada (Se houver)
</t>
        </r>
      </text>
    </comment>
  </commentList>
</comments>
</file>

<file path=xl/comments4.xml><?xml version="1.0" encoding="utf-8"?>
<comments xmlns="http://schemas.openxmlformats.org/spreadsheetml/2006/main">
  <authors>
    <author>Cassia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Não deverá usar escala diferente do Estabelecido em CCT e/ou inciso XIV do art. 7º da CF/88.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EX:
</t>
        </r>
        <r>
          <rPr>
            <b/>
            <sz val="8"/>
            <color indexed="10"/>
            <rFont val="Tahoma"/>
            <family val="2"/>
          </rPr>
          <t>8</t>
        </r>
        <r>
          <rPr>
            <b/>
            <sz val="8"/>
            <color indexed="81"/>
            <rFont val="Tahoma"/>
            <family val="2"/>
          </rPr>
          <t xml:space="preserve"> horas
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horas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EX:
</t>
        </r>
        <r>
          <rPr>
            <b/>
            <sz val="8"/>
            <color indexed="10"/>
            <rFont val="Tahoma"/>
            <family val="2"/>
          </rPr>
          <t>5</t>
        </r>
        <r>
          <rPr>
            <b/>
            <sz val="8"/>
            <color indexed="81"/>
            <rFont val="Tahoma"/>
            <family val="2"/>
          </rPr>
          <t xml:space="preserve"> x 1
</t>
        </r>
        <r>
          <rPr>
            <b/>
            <sz val="8"/>
            <color indexed="10"/>
            <rFont val="Tahoma"/>
            <family val="2"/>
          </rPr>
          <t>4</t>
        </r>
        <r>
          <rPr>
            <b/>
            <sz val="8"/>
            <color indexed="81"/>
            <rFont val="Tahoma"/>
            <family val="2"/>
          </rPr>
          <t xml:space="preserve"> x 1
</t>
        </r>
        <r>
          <rPr>
            <b/>
            <sz val="8"/>
            <color indexed="8"/>
            <rFont val="Tahoma"/>
            <family val="2"/>
          </rPr>
          <t xml:space="preserve">12 </t>
        </r>
        <r>
          <rPr>
            <b/>
            <sz val="8"/>
            <color indexed="81"/>
            <rFont val="Tahoma"/>
            <family val="2"/>
          </rPr>
          <t xml:space="preserve">x 36 =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 x</t>
        </r>
        <r>
          <rPr>
            <b/>
            <sz val="8"/>
            <color indexed="8"/>
            <rFont val="Tahoma"/>
            <family val="2"/>
          </rPr>
          <t xml:space="preserve"> 1</t>
        </r>
        <r>
          <rPr>
            <b/>
            <sz val="8"/>
            <color indexed="81"/>
            <rFont val="Tahoma"/>
            <family val="2"/>
          </rPr>
          <t xml:space="preserve"> (usar assim)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EX:
5 x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
4 x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 xml:space="preserve">
12 x 36 = 1 x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 (usar assim)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Não deverá usar escala diferente do Estabelecido em CCT e/ou inciso XIV do art. 7º da CF/88.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Ex:
</t>
        </r>
        <r>
          <rPr>
            <b/>
            <sz val="8"/>
            <color indexed="10"/>
            <rFont val="Tahoma"/>
            <family val="2"/>
          </rPr>
          <t>6</t>
        </r>
        <r>
          <rPr>
            <b/>
            <sz val="8"/>
            <color indexed="81"/>
            <rFont val="Tahoma"/>
            <family val="2"/>
          </rPr>
          <t xml:space="preserve"> horas
</t>
        </r>
        <r>
          <rPr>
            <b/>
            <sz val="8"/>
            <color indexed="10"/>
            <rFont val="Tahoma"/>
            <family val="2"/>
          </rPr>
          <t xml:space="preserve">4 </t>
        </r>
        <r>
          <rPr>
            <b/>
            <sz val="8"/>
            <color indexed="81"/>
            <rFont val="Tahoma"/>
            <family val="2"/>
          </rPr>
          <t>horas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Digitar no Efetivo - cadastro automático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Se "sim" digitar '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'
Se "não" deixar em "</t>
        </r>
        <r>
          <rPr>
            <b/>
            <sz val="8"/>
            <color indexed="10"/>
            <rFont val="Tahoma"/>
            <family val="2"/>
          </rPr>
          <t>BRANCO</t>
        </r>
        <r>
          <rPr>
            <b/>
            <sz val="8"/>
            <color indexed="81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Se "sim" digitar '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'
Se "não" deixar em "</t>
        </r>
        <r>
          <rPr>
            <b/>
            <sz val="8"/>
            <color indexed="10"/>
            <rFont val="Tahoma"/>
            <family val="2"/>
          </rPr>
          <t>BRANCO</t>
        </r>
        <r>
          <rPr>
            <b/>
            <sz val="8"/>
            <color indexed="81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8"/>
            <color indexed="81"/>
            <rFont val="Tahoma"/>
            <family val="2"/>
          </rPr>
          <t xml:space="preserve">Ex:
Posto </t>
        </r>
        <r>
          <rPr>
            <b/>
            <sz val="8"/>
            <color indexed="10"/>
            <rFont val="Tahoma"/>
            <family val="2"/>
          </rPr>
          <t>H24</t>
        </r>
        <r>
          <rPr>
            <b/>
            <sz val="8"/>
            <color indexed="81"/>
            <rFont val="Tahoma"/>
            <family val="2"/>
          </rPr>
          <t xml:space="preserve">
Posto </t>
        </r>
        <r>
          <rPr>
            <b/>
            <sz val="8"/>
            <color indexed="10"/>
            <rFont val="Tahoma"/>
            <family val="2"/>
          </rPr>
          <t>H12</t>
        </r>
        <r>
          <rPr>
            <b/>
            <sz val="8"/>
            <color indexed="81"/>
            <rFont val="Tahoma"/>
            <family val="2"/>
          </rPr>
          <t xml:space="preserve">
Posto </t>
        </r>
        <r>
          <rPr>
            <b/>
            <sz val="8"/>
            <color indexed="10"/>
            <rFont val="Tahoma"/>
            <family val="2"/>
          </rPr>
          <t>H8</t>
        </r>
        <r>
          <rPr>
            <b/>
            <sz val="8"/>
            <color indexed="81"/>
            <rFont val="Tahoma"/>
            <family val="2"/>
          </rPr>
          <t xml:space="preserve">
Posto </t>
        </r>
        <r>
          <rPr>
            <b/>
            <sz val="8"/>
            <color indexed="10"/>
            <rFont val="Tahoma"/>
            <family val="2"/>
          </rPr>
          <t>ADM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Cassia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 xml:space="preserve">Bimestral = </t>
        </r>
        <r>
          <rPr>
            <b/>
            <sz val="8"/>
            <color indexed="10"/>
            <rFont val="Tahoma"/>
            <family val="2"/>
          </rPr>
          <t xml:space="preserve">2 </t>
        </r>
        <r>
          <rPr>
            <b/>
            <sz val="8"/>
            <color indexed="81"/>
            <rFont val="Tahoma"/>
            <family val="2"/>
          </rPr>
          <t xml:space="preserve">meses
Trimestral =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color indexed="81"/>
            <rFont val="Tahoma"/>
            <family val="2"/>
          </rPr>
          <t xml:space="preserve"> meses
Semestral = </t>
        </r>
        <r>
          <rPr>
            <b/>
            <sz val="8"/>
            <color indexed="10"/>
            <rFont val="Tahoma"/>
            <family val="2"/>
          </rPr>
          <t>6</t>
        </r>
        <r>
          <rPr>
            <b/>
            <sz val="8"/>
            <color indexed="81"/>
            <rFont val="Tahoma"/>
            <family val="2"/>
          </rPr>
          <t xml:space="preserve"> meses
Anual = </t>
        </r>
        <r>
          <rPr>
            <b/>
            <sz val="8"/>
            <color indexed="10"/>
            <rFont val="Tahoma"/>
            <family val="2"/>
          </rPr>
          <t>12</t>
        </r>
        <r>
          <rPr>
            <b/>
            <sz val="8"/>
            <color indexed="81"/>
            <rFont val="Tahoma"/>
            <family val="2"/>
          </rPr>
          <t xml:space="preserve"> meses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sz val="8"/>
            <color indexed="81"/>
            <rFont val="Tahoma"/>
            <family val="2"/>
          </rPr>
          <t xml:space="preserve">Inserir Total de Empregados (jornada Normal) + Empregados de Escala + Folguista de Escala (se houver)+ Folguista de Folga Agrupada (se houver)
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>EPI e EPC:</t>
        </r>
        <r>
          <rPr>
            <b/>
            <sz val="8"/>
            <color indexed="81"/>
            <rFont val="Tahoma"/>
            <family val="2"/>
          </rPr>
          <t xml:space="preserve">
A empresa é obrigada a fornecer ao empregado equipamentos de proteção conforme o Art. 166 da CLT.
</t>
        </r>
        <r>
          <rPr>
            <b/>
            <sz val="8"/>
            <color indexed="10"/>
            <rFont val="Tahoma"/>
            <family val="2"/>
          </rPr>
          <t>UNIFORME:</t>
        </r>
        <r>
          <rPr>
            <b/>
            <sz val="8"/>
            <color indexed="81"/>
            <rFont val="Tahoma"/>
            <family val="2"/>
          </rPr>
          <t xml:space="preserve">
A empresa é obrigada a fornecer ao empregado o uniforme, por força do contrato ou do costume conforme o Art. 458 da CLT.
</t>
        </r>
        <r>
          <rPr>
            <b/>
            <sz val="8"/>
            <color indexed="10"/>
            <rFont val="Tahoma"/>
            <family val="2"/>
          </rPr>
          <t>LEMBRETE:</t>
        </r>
        <r>
          <rPr>
            <b/>
            <sz val="8"/>
            <color indexed="81"/>
            <rFont val="Tahoma"/>
            <family val="2"/>
          </rPr>
          <t xml:space="preserve">
Os Equipamentos de Proteção Individual e Coletiva estão previsto no Laudo Pericial.
O Acordo Coletivo poderá dispor sobre estes itens.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 xml:space="preserve">Conforme estabelecido na  Convenção c/c a Cotação:
</t>
        </r>
        <r>
          <rPr>
            <b/>
            <sz val="8"/>
            <color indexed="81"/>
            <rFont val="Tahoma"/>
            <family val="2"/>
          </rPr>
          <t>12 = orçar a quantidade relativa ao ano;
6 = orçar a quantidade relativa ao semestre;
3 = orçar a quantidade relativa ao trimestre;
2 = orçar a quantidade relativa ao bimestre;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Facilidade: Escolher na Lista Suspensa
com Botão Direito do Mouse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I1074249</author>
    <author>infra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PIS:         -0,65%
COFINS:   -3,00%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8"/>
            <color indexed="81"/>
            <rFont val="Tahoma"/>
            <family val="2"/>
          </rPr>
          <t xml:space="preserve">Facilidade: </t>
        </r>
        <r>
          <rPr>
            <sz val="8"/>
            <color indexed="81"/>
            <rFont val="Tahoma"/>
            <family val="2"/>
          </rPr>
          <t>Escolher na Lista Suspensa
com Botão Direito do Mouse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Litro = Lt
Unidade = Un
Metro = Mt
Pacote = pct
etc</t>
        </r>
      </text>
    </comment>
  </commentList>
</comments>
</file>

<file path=xl/comments7.xml><?xml version="1.0" encoding="utf-8"?>
<comments xmlns="http://schemas.openxmlformats.org/spreadsheetml/2006/main">
  <authors>
    <author>I1074249</author>
    <author>Cassia</author>
  </authors>
  <commentList>
    <comment ref="J13" authorId="0">
      <text>
        <r>
          <rPr>
            <b/>
            <sz val="8"/>
            <color indexed="81"/>
            <rFont val="Tahoma"/>
            <family val="2"/>
          </rPr>
          <t xml:space="preserve">Valor Residual: Valor do Bem após a sua depreciação. 
Por Exemplo:
Furadeira Fabricada em  1997 custou R$ 2.000,00, dez anos, após sua depreciação, em 2007 custa  </t>
        </r>
        <r>
          <rPr>
            <b/>
            <sz val="8"/>
            <color indexed="10"/>
            <rFont val="Tahoma"/>
            <family val="2"/>
          </rPr>
          <t>R$ 100,00 (valor Residual).</t>
        </r>
        <r>
          <rPr>
            <b/>
            <sz val="8"/>
            <color indexed="81"/>
            <rFont val="Tahoma"/>
            <family val="2"/>
          </rPr>
          <t xml:space="preserve">
LEMBRETE:
Só exite valor residual se o bem ainda tiver valor de mercado após sua depreciação.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Período de meses para depreciação. (IN SRF nº 162)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>
      <text>
        <r>
          <rPr>
            <sz val="8"/>
            <color indexed="81"/>
            <rFont val="Tahoma"/>
            <family val="2"/>
          </rPr>
          <t>Novo:      0,25% 
1 ano:     0,50%
2 anos:   0,75%
3 ou +:   1,00%</t>
        </r>
      </text>
    </comment>
  </commentList>
</comments>
</file>

<file path=xl/comments8.xml><?xml version="1.0" encoding="utf-8"?>
<comments xmlns="http://schemas.openxmlformats.org/spreadsheetml/2006/main">
  <authors>
    <author>I1074249</author>
    <author>infra</author>
    <author>Cassia</author>
  </authors>
  <commentList>
    <comment ref="J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2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</text>
    </comment>
    <comment ref="J2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J27" authorId="2">
      <text>
        <r>
          <rPr>
            <b/>
            <sz val="8"/>
            <color indexed="81"/>
            <rFont val="Tahoma"/>
            <family val="2"/>
          </rPr>
          <t>Estima-se 3 % sobre o valor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3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4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6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6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7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7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7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7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8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9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9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9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0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0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0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0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11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11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2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2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2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3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3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3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3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14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14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5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5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5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6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6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6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6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17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17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8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8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8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19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19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19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19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20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20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21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21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21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H222" authorId="0">
      <text>
        <r>
          <rPr>
            <b/>
            <sz val="8"/>
            <color indexed="81"/>
            <rFont val="Tahoma"/>
            <family val="2"/>
          </rPr>
          <t>Veículos:                 45.000
Ônibus e Cam.:      80.000</t>
        </r>
      </text>
    </comment>
    <comment ref="J22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H223" authorId="0">
      <text>
        <r>
          <rPr>
            <b/>
            <sz val="8"/>
            <color indexed="81"/>
            <rFont val="Tahoma"/>
            <family val="2"/>
          </rPr>
          <t>Veículos: 8 a 12 Km/lt
Ônibus e Cam.: 3,5 a 5 Km/lt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4" authorId="0">
      <text>
        <r>
          <rPr>
            <b/>
            <sz val="8"/>
            <color indexed="81"/>
            <rFont val="Tahoma"/>
            <family val="2"/>
          </rPr>
          <t>Veículos: 4 a 6 Lt
Ônibus e Cam.: 25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4" authorId="0">
      <text>
        <r>
          <rPr>
            <b/>
            <sz val="8"/>
            <color indexed="81"/>
            <rFont val="Tahoma"/>
            <family val="2"/>
          </rPr>
          <t>Veículos: 5.000
Ônibus e Cam.: 10.000</t>
        </r>
      </text>
    </comment>
    <comment ref="J22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5" authorId="0">
      <text>
        <r>
          <rPr>
            <b/>
            <sz val="8"/>
            <color indexed="81"/>
            <rFont val="Tahoma"/>
            <family val="2"/>
          </rPr>
          <t>Veículos: 20.000
Ônibus e Cam.: 30.000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6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7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8" authorId="0">
      <text>
        <r>
          <rPr>
            <b/>
            <sz val="8"/>
            <color indexed="81"/>
            <rFont val="Tahoma"/>
            <family val="2"/>
          </rPr>
          <t xml:space="preserve">Veículos: 20.000
Ônibus e Cam.: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0" authorId="0">
      <text>
        <r>
          <rPr>
            <b/>
            <sz val="8"/>
            <color indexed="81"/>
            <rFont val="Tahoma"/>
            <family val="2"/>
          </rPr>
          <t>Mínimo 4
Máximo 8</t>
        </r>
      </text>
    </comment>
    <comment ref="J23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1" authorId="1">
      <text>
        <r>
          <rPr>
            <sz val="8"/>
            <color indexed="10"/>
            <rFont val="Tahoma"/>
            <family val="2"/>
          </rPr>
          <t>Esta opção deverá ser descartada se a manutenção já for prevista na Coluna 10 da planilha "DV".</t>
        </r>
        <r>
          <rPr>
            <sz val="8"/>
            <color indexed="81"/>
            <rFont val="Tahoma"/>
            <family val="2"/>
          </rPr>
          <t xml:space="preserve">
Informar a Kilometragem prevista entre as manutenções. 
Ver manual do veículo.</t>
        </r>
      </text>
    </comment>
    <comment ref="J23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24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</commentList>
</comments>
</file>

<file path=xl/comments9.xml><?xml version="1.0" encoding="utf-8"?>
<comments xmlns="http://schemas.openxmlformats.org/spreadsheetml/2006/main">
  <authors>
    <author>I1074249</author>
    <author>infra</author>
    <author>Cassia</author>
  </authors>
  <commentList>
    <comment ref="J6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6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J27" authorId="2">
      <text>
        <r>
          <rPr>
            <b/>
            <sz val="8"/>
            <color indexed="81"/>
            <rFont val="Tahoma"/>
            <family val="2"/>
          </rPr>
          <t>Estima-se 3 % sobre o valor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1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40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4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5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5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65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70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76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0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3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5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5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95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04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04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10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1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7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8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9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9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29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34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34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40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41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2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3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4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7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8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9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9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59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  <comment ref="J168" authorId="0">
      <text>
        <r>
          <rPr>
            <b/>
            <sz val="8"/>
            <color indexed="81"/>
            <rFont val="Tahoma"/>
            <family val="2"/>
          </rPr>
          <t>Qtd. de Km por mês</t>
        </r>
      </text>
    </comment>
    <comment ref="R168" authorId="1">
      <text>
        <r>
          <rPr>
            <sz val="8"/>
            <color indexed="81"/>
            <rFont val="Tahoma"/>
            <family val="2"/>
          </rPr>
          <t>Valor para cálculo de Manutenção e Peças</t>
        </r>
      </text>
    </comment>
    <comment ref="J174" authorId="0">
      <text>
        <r>
          <rPr>
            <b/>
            <sz val="8"/>
            <color indexed="81"/>
            <rFont val="Tahoma"/>
            <family val="2"/>
          </rPr>
          <t>Inserir o preço referente a 1 pneu</t>
        </r>
      </text>
    </comment>
    <comment ref="J175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6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7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8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9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0" authorId="0">
      <text>
        <r>
          <rPr>
            <b/>
            <sz val="8"/>
            <color indexed="81"/>
            <rFont val="Tahoma"/>
            <family val="2"/>
          </rPr>
          <t>Inserir o preço referente a 1 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1" authorId="0">
      <text>
        <r>
          <rPr>
            <b/>
            <sz val="8"/>
            <color indexed="81"/>
            <rFont val="Tahoma"/>
            <family val="2"/>
          </rPr>
          <t>Inserir o preço referente a uma lavagem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2" authorId="0">
      <text>
        <r>
          <rPr>
            <b/>
            <sz val="8"/>
            <color indexed="81"/>
            <rFont val="Tahoma"/>
            <family val="2"/>
          </rPr>
          <t>Inserir o preço referente a 1 amortecedor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3" authorId="2">
      <text>
        <r>
          <rPr>
            <b/>
            <sz val="8"/>
            <color indexed="81"/>
            <rFont val="Tahoma"/>
            <family val="2"/>
          </rPr>
          <t>Informar a Quilometragem prevista entre as manutenções. 
Ver manual do veículo.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3" authorId="1">
      <text>
        <r>
          <rPr>
            <sz val="8"/>
            <color indexed="81"/>
            <rFont val="Tahoma"/>
            <family val="2"/>
          </rPr>
          <t xml:space="preserve">O percentual máximo admitido pela Infraero é de </t>
        </r>
        <r>
          <rPr>
            <b/>
            <sz val="8"/>
            <color indexed="81"/>
            <rFont val="Tahoma"/>
            <family val="2"/>
          </rPr>
          <t>1%</t>
        </r>
      </text>
    </comment>
    <comment ref="R193" authorId="0">
      <text>
        <r>
          <rPr>
            <b/>
            <sz val="8"/>
            <color indexed="81"/>
            <rFont val="Tahoma"/>
            <family val="2"/>
          </rPr>
          <t>Transferir este valor para a Plan:</t>
        </r>
        <r>
          <rPr>
            <b/>
            <sz val="8"/>
            <color indexed="12"/>
            <rFont val="Tahoma"/>
            <family val="2"/>
          </rPr>
          <t xml:space="preserve"> DV</t>
        </r>
      </text>
    </comment>
  </commentList>
</comments>
</file>

<file path=xl/sharedStrings.xml><?xml version="1.0" encoding="utf-8"?>
<sst xmlns="http://schemas.openxmlformats.org/spreadsheetml/2006/main" count="1426" uniqueCount="704">
  <si>
    <t>IV - MARGEM DE CONTRIBUIÇÃO E ENCARGOS TRIBUTÁRIOS</t>
  </si>
  <si>
    <t>Média dias úteis no ano</t>
  </si>
  <si>
    <t>Licença Paternidade</t>
  </si>
  <si>
    <t>Indenização Adicional</t>
  </si>
  <si>
    <t>Totais</t>
  </si>
  <si>
    <t>DOV por Veículo</t>
  </si>
  <si>
    <t>Valor adicional II:</t>
  </si>
  <si>
    <t>Meses</t>
  </si>
  <si>
    <t>Modalidade de Licitação:</t>
  </si>
  <si>
    <t>Partici-pação</t>
  </si>
  <si>
    <t>Seguro de Vida Em Grupo</t>
  </si>
  <si>
    <t>Reembol-so R$</t>
  </si>
  <si>
    <t>Custo por Item</t>
  </si>
  <si>
    <t>DEPRECIAÇÃO DE VEÍCULOS E DESPESAS OPERACIONAIS</t>
  </si>
  <si>
    <t>Total DOV</t>
  </si>
  <si>
    <t>Depreciação de Equipamentos e Pequenos Utensílios</t>
  </si>
  <si>
    <t>Média Mensal de Utilização do Veículo em Km:</t>
  </si>
  <si>
    <t>Custo Final</t>
  </si>
  <si>
    <t>Custo/Km</t>
  </si>
  <si>
    <t>CUSTOS VARIÁVEIS</t>
  </si>
  <si>
    <t xml:space="preserve">   km</t>
  </si>
  <si>
    <t>Indenização Referente ao Final do Contrato (Aviso Prévio)</t>
  </si>
  <si>
    <t xml:space="preserve"> VII  -  TOTAL   GLOBAL   PARA</t>
  </si>
  <si>
    <t>MARGEM DE CONTRIBUIÇÃO</t>
  </si>
  <si>
    <t>1.1 - Margem de Contribuição</t>
  </si>
  <si>
    <t xml:space="preserve">2.2 - PIS           </t>
  </si>
  <si>
    <t>2.2 - PIS                                                            até</t>
  </si>
  <si>
    <t>Veículos Automotores</t>
  </si>
  <si>
    <t>Pregão Eletrônico</t>
  </si>
  <si>
    <t>un</t>
  </si>
  <si>
    <t>Valor Adicional I:</t>
  </si>
  <si>
    <t>Nome da Planilha:</t>
  </si>
  <si>
    <t>Objeto :</t>
  </si>
  <si>
    <t>Prazo do contrato:</t>
  </si>
  <si>
    <t>Valor Global</t>
  </si>
  <si>
    <t>Regime de Contratação:</t>
  </si>
  <si>
    <t xml:space="preserve">Salário (R$)       </t>
  </si>
  <si>
    <t>Cargo / Função</t>
  </si>
  <si>
    <t>Soma (R$)</t>
  </si>
  <si>
    <t>Salário (R$)</t>
  </si>
  <si>
    <t xml:space="preserve"> REMUNERAÇÃO DE PESSOAL</t>
  </si>
  <si>
    <t>MARGEM DE CONTRIBUIÇÃO, ENCARGOS TRIBUTÁRIOS E INDENIZAÇÃO AVISO PRÉVIO</t>
  </si>
  <si>
    <t>Treinamento / Reciclagem</t>
  </si>
  <si>
    <t>Salário</t>
  </si>
  <si>
    <t>CUSTOS FIXOS</t>
  </si>
  <si>
    <t>TOTAL</t>
  </si>
  <si>
    <t>Salário Educação</t>
  </si>
  <si>
    <t>SEBRAE</t>
  </si>
  <si>
    <t>INCRA</t>
  </si>
  <si>
    <t xml:space="preserve"> Grupo A</t>
  </si>
  <si>
    <t>INSS</t>
  </si>
  <si>
    <t>SESI ou SESC</t>
  </si>
  <si>
    <t>SENAI ou SENAC</t>
  </si>
  <si>
    <t>FGTS</t>
  </si>
  <si>
    <t>Seguro Acidente do Trabalho/SAT/INSS</t>
  </si>
  <si>
    <t>Grupo B</t>
  </si>
  <si>
    <t>Grupo C</t>
  </si>
  <si>
    <t>Indenização (rescisões sem justa causa) e provisão de 50% de FGTS</t>
  </si>
  <si>
    <t>Grupo D</t>
  </si>
  <si>
    <t xml:space="preserve">Total de Encargos Sociais </t>
  </si>
  <si>
    <t>ENCARGOS TRIBUTÁRIOS</t>
  </si>
  <si>
    <t>2.1 - ISS</t>
  </si>
  <si>
    <t>2.3 - COFINS</t>
  </si>
  <si>
    <t>Subtotal</t>
  </si>
  <si>
    <t>lt</t>
  </si>
  <si>
    <t>Preço R$</t>
  </si>
  <si>
    <t>Qtd.</t>
  </si>
  <si>
    <t>Medida</t>
  </si>
  <si>
    <t>Consumo</t>
  </si>
  <si>
    <t>Carter</t>
  </si>
  <si>
    <t>Diferencial</t>
  </si>
  <si>
    <t>Câmbio</t>
  </si>
  <si>
    <t>Freio</t>
  </si>
  <si>
    <t>Graxa</t>
  </si>
  <si>
    <t>Lavagem</t>
  </si>
  <si>
    <t>Combustível</t>
  </si>
  <si>
    <t>Pneus e Câmaras</t>
  </si>
  <si>
    <t>Amortecedor</t>
  </si>
  <si>
    <t>Seguro:</t>
  </si>
  <si>
    <t>Itens</t>
  </si>
  <si>
    <t>INSUMOS</t>
  </si>
  <si>
    <t>Custo Unitário</t>
  </si>
  <si>
    <t>Custo Anual</t>
  </si>
  <si>
    <t>Custo Mensal</t>
  </si>
  <si>
    <t>Valor Mensal</t>
  </si>
  <si>
    <t>Custo Un.</t>
  </si>
  <si>
    <t>Crédito Pis/Cofins</t>
  </si>
  <si>
    <t>Custo un. (líquido)</t>
  </si>
  <si>
    <t>Descrição</t>
  </si>
  <si>
    <t>Qtd. de Pessoas</t>
  </si>
  <si>
    <t>Custo Individual</t>
  </si>
  <si>
    <t>Qtd. Diária</t>
  </si>
  <si>
    <t>Seguro de Vida em Grupo</t>
  </si>
  <si>
    <t>Treinamento</t>
  </si>
  <si>
    <t>Cesta Básica</t>
  </si>
  <si>
    <t>Transporte</t>
  </si>
  <si>
    <t>Assistência Médica</t>
  </si>
  <si>
    <t>Assistência Odontológica</t>
  </si>
  <si>
    <t>Qtd. de Emp.</t>
  </si>
  <si>
    <t>II</t>
  </si>
  <si>
    <t>SUBTOTAL</t>
  </si>
  <si>
    <t>ENCARGOS SOCIAIS</t>
  </si>
  <si>
    <t xml:space="preserve">               Item                                         </t>
  </si>
  <si>
    <t>Valor do Bem      R$</t>
  </si>
  <si>
    <t>Item</t>
  </si>
  <si>
    <t>Depreciação Mensal - R$</t>
  </si>
  <si>
    <t>Custo              Líquido - R$</t>
  </si>
  <si>
    <t>Ano Fab.</t>
  </si>
  <si>
    <t>Qtd. Dias</t>
  </si>
  <si>
    <t>Adicional noturno</t>
  </si>
  <si>
    <t>Hora Not. Reduzida</t>
  </si>
  <si>
    <t>Periculosidade / Insalubridade</t>
  </si>
  <si>
    <t>Encargos Sociais</t>
  </si>
  <si>
    <t>Soma</t>
  </si>
  <si>
    <t>Repouso Remun.</t>
  </si>
  <si>
    <t>Repouso Remunerado</t>
  </si>
  <si>
    <t>Total Mensal</t>
  </si>
  <si>
    <t>Vale Transporte</t>
  </si>
  <si>
    <t>Custo</t>
  </si>
  <si>
    <t>Material</t>
  </si>
  <si>
    <t>Veículos - Depreciação</t>
  </si>
  <si>
    <t>%</t>
  </si>
  <si>
    <t>2</t>
  </si>
  <si>
    <t>3</t>
  </si>
  <si>
    <t>4</t>
  </si>
  <si>
    <t>5</t>
  </si>
  <si>
    <t>6</t>
  </si>
  <si>
    <t>7</t>
  </si>
  <si>
    <t>8</t>
  </si>
  <si>
    <t>1</t>
  </si>
  <si>
    <t>Crédito do PIS/COFINS</t>
  </si>
  <si>
    <t>Hora Noturna por dia trab.</t>
  </si>
  <si>
    <t>Opção DSR</t>
  </si>
  <si>
    <t>Horário</t>
  </si>
  <si>
    <t>Objeto:</t>
  </si>
  <si>
    <t>Valor Mensal:</t>
  </si>
  <si>
    <t>Valor Global:</t>
  </si>
  <si>
    <t>COMPOSIÇÃO DE PREÇO (MENSAL)</t>
  </si>
  <si>
    <t>I - REMUNERAÇÃO DE PESSOAL</t>
  </si>
  <si>
    <t>QTDE.</t>
  </si>
  <si>
    <t>II - ENCARGOS SOCIAIS</t>
  </si>
  <si>
    <t>GRUPO - A</t>
  </si>
  <si>
    <t>01 - INSS</t>
  </si>
  <si>
    <t>02 - SESI ou SESC</t>
  </si>
  <si>
    <t>03 - SENAI ou SENAC</t>
  </si>
  <si>
    <t>04 - INCRA</t>
  </si>
  <si>
    <t>05 - Salário Educação</t>
  </si>
  <si>
    <t>06 - FGTS</t>
  </si>
  <si>
    <t>07 - Seguro Acidente do Trabalho/SAT/INSS</t>
  </si>
  <si>
    <t>08 - SEBRAE</t>
  </si>
  <si>
    <t>GRUPO - B</t>
  </si>
  <si>
    <t>GRUPO - C</t>
  </si>
  <si>
    <t>GRUPO - D</t>
  </si>
  <si>
    <t>TOTAL DOS ENCARGOS SOCIAIS:</t>
  </si>
  <si>
    <t>TOTAL II :</t>
  </si>
  <si>
    <t>III - INSUMOS</t>
  </si>
  <si>
    <t>TOTAL III:</t>
  </si>
  <si>
    <t>Se necessário, insira no campo abaixo o valor adicional total referente às observações realizadas:</t>
  </si>
  <si>
    <t>INFORMAÇÕES GERAIS</t>
  </si>
  <si>
    <t>DESCRIÇÃO</t>
  </si>
  <si>
    <t>OBSERVAÇÕES</t>
  </si>
  <si>
    <t xml:space="preserve"> NOTAS</t>
  </si>
  <si>
    <t>Periculosidade/ Insalubridade</t>
  </si>
  <si>
    <t xml:space="preserve">Qtd. de Horas Trab. no Mês </t>
  </si>
  <si>
    <t>Despesas Operacionais dos Veículos (Combustível, Pneus, Óleos Lubrificantes, etc.)</t>
  </si>
  <si>
    <t>P  ou  I</t>
  </si>
  <si>
    <t>% Periculo. ou Insalub.</t>
  </si>
  <si>
    <t>Descrição dos Itens de uso mensal</t>
  </si>
  <si>
    <t>IV. 2 - ENCARGOS TRIBUTÁRIOS</t>
  </si>
  <si>
    <t>MESES</t>
  </si>
  <si>
    <t xml:space="preserve">SUBTOTAL II   </t>
  </si>
  <si>
    <t>Equipamentos e Utensílios - Depreciação</t>
  </si>
  <si>
    <t>Auxílio Doença</t>
  </si>
  <si>
    <t>Faltas Legais</t>
  </si>
  <si>
    <t>Acidentes de Trabalho</t>
  </si>
  <si>
    <t>13º Salário</t>
  </si>
  <si>
    <t>BENEFÍCIOS</t>
  </si>
  <si>
    <t>Encargos Tributários</t>
  </si>
  <si>
    <t>MATERIAL DE USO MENSAL</t>
  </si>
  <si>
    <t>R$</t>
  </si>
  <si>
    <t>Prazo de vida útil (mês)</t>
  </si>
  <si>
    <t>Clique aqui para acessar a IN SRF nº 162 (Instruções para depreciação)</t>
  </si>
  <si>
    <t>% admitidos (Teto)</t>
  </si>
  <si>
    <t>Total</t>
  </si>
  <si>
    <t>Prazo do Contrato (meses)</t>
  </si>
  <si>
    <t>Prazo de Vida Útil (meses)</t>
  </si>
  <si>
    <t>Descrição dos Cálculos</t>
  </si>
  <si>
    <t>Vale Refeição/Alimentação</t>
  </si>
  <si>
    <t>Valor p/ cálculo Insalubridade</t>
  </si>
  <si>
    <t>TOTAL Periculosidade e/ou Insalubridade R$</t>
  </si>
  <si>
    <t>TOTAL Repouso Remunerado  R$</t>
  </si>
  <si>
    <t xml:space="preserve">                                                                                                                  SUBTOTAL                  </t>
  </si>
  <si>
    <t>B + A = C</t>
  </si>
  <si>
    <t>D = AVISO PRÉVIO INDENIZAÇÃO</t>
  </si>
  <si>
    <t>Diversos serviços</t>
  </si>
  <si>
    <t>Dados para os Cálculos dos Custos de Pessoal</t>
  </si>
  <si>
    <t>Valor Un  R$</t>
  </si>
  <si>
    <t>Total I</t>
  </si>
  <si>
    <t>Empregados</t>
  </si>
  <si>
    <t>Vale Refeição / Alimentação</t>
  </si>
  <si>
    <t>Dias no ano</t>
  </si>
  <si>
    <t>Feriados Nacionais</t>
  </si>
  <si>
    <t>Dias úteis - Média dos feriados</t>
  </si>
  <si>
    <t>Média dos dias Trabalhados no ano</t>
  </si>
  <si>
    <t>Média feriados nos últimos 3 anos</t>
  </si>
  <si>
    <t>Dias úteis</t>
  </si>
  <si>
    <t>Nº de semanas</t>
  </si>
  <si>
    <t>A</t>
  </si>
  <si>
    <t>B</t>
  </si>
  <si>
    <t>C</t>
  </si>
  <si>
    <t>D</t>
  </si>
  <si>
    <t>E</t>
  </si>
  <si>
    <t>F</t>
  </si>
  <si>
    <t>G</t>
  </si>
  <si>
    <t xml:space="preserve">   A / 7 (dias da semana)</t>
  </si>
  <si>
    <t xml:space="preserve">  Média de feriados em dias úteis</t>
  </si>
  <si>
    <t>Valor Adicional:</t>
  </si>
  <si>
    <t>01 - Margem de Contribuição</t>
  </si>
  <si>
    <t>Qtd</t>
  </si>
  <si>
    <t>Despesas Gerais</t>
  </si>
  <si>
    <t>V - INDENIZAÇÃO REFERENTE AO FINAL DO CONTRATO</t>
  </si>
  <si>
    <t>Remuneração de Pessoal</t>
  </si>
  <si>
    <t>% Aviso Prévio</t>
  </si>
  <si>
    <t>Soma I</t>
  </si>
  <si>
    <t>Margem de Contribuição</t>
  </si>
  <si>
    <t>Aviso Prévio (final de Contrato)</t>
  </si>
  <si>
    <t>VI - OBSERVAÇÕES</t>
  </si>
  <si>
    <t>Total:</t>
  </si>
  <si>
    <t>Saldo versão anterior:</t>
  </si>
  <si>
    <t>Saldo Versão Anterior:</t>
  </si>
  <si>
    <t xml:space="preserve">Domingos e Feriados: </t>
  </si>
  <si>
    <t xml:space="preserve">%  DSR:  </t>
  </si>
  <si>
    <t xml:space="preserve">% de Adicional Noturno: </t>
  </si>
  <si>
    <t>Adic. Noturno + Hora Reduzida</t>
  </si>
  <si>
    <t>Adicionais</t>
  </si>
  <si>
    <t>TOTAL Adic. Not. + Hora Red.  R$</t>
  </si>
  <si>
    <t>TOTAL Adicionais  R$</t>
  </si>
  <si>
    <t>Valores Máximos Admitidos pela Infraero</t>
  </si>
  <si>
    <t>1.1 - Margem de Contribuição                      até</t>
  </si>
  <si>
    <t>2.1 - ISS                                                            até</t>
  </si>
  <si>
    <t>2.3 - COFINS                                                   até</t>
  </si>
  <si>
    <t>Valor do Veículo:</t>
  </si>
  <si>
    <t>Manutenção e Peças</t>
  </si>
  <si>
    <t>Licenciamento (IPVA+Seg. Obrig.+Licenciamento)</t>
  </si>
  <si>
    <t>Sub Total I</t>
  </si>
  <si>
    <t xml:space="preserve">                   TOTAL</t>
  </si>
  <si>
    <t>Preço Global</t>
  </si>
  <si>
    <t>Nome da Dependência:</t>
  </si>
  <si>
    <t>Sigla:</t>
  </si>
  <si>
    <t xml:space="preserve">Despesas Gerais - Mensais </t>
  </si>
  <si>
    <t>Quantidade</t>
  </si>
  <si>
    <t>2. Os percentuais maximos admitidos pela infraero, para efeito de classificação de propostas serão os seguintes:</t>
  </si>
  <si>
    <t>Encargos Tributários - ET (incide sobre o faturamento - ( SUBTOTAL I + MC) / (1 - % ET) ] x % ET)</t>
  </si>
  <si>
    <t>Margem de Contribuição - MC  (sobre o SUBTOTAL I)</t>
  </si>
  <si>
    <t>(Valor mensal x prazo contrato) + Valor Adicional I + Valor Adicional II</t>
  </si>
  <si>
    <t>Nome do Gestor:</t>
  </si>
  <si>
    <t>Observações:</t>
  </si>
  <si>
    <t>Convenção Coletiva Utilizada:</t>
  </si>
  <si>
    <t>ALCOOL 70%</t>
  </si>
  <si>
    <t>ALVEJANTE BACT/HIPOCL. SODIO</t>
  </si>
  <si>
    <t>APLICADOR CERA TONKI</t>
  </si>
  <si>
    <t>BALDE PLAST. 10 LTS</t>
  </si>
  <si>
    <t>BALDE PLAST. 20 LTS</t>
  </si>
  <si>
    <t>CABELEIRA MOP AGUA TONKI</t>
  </si>
  <si>
    <t>CABELEIRA MOP PO 60 CM / COMUM</t>
  </si>
  <si>
    <t>CABO ALUM. MO PO C0 CM/PLATAF</t>
  </si>
  <si>
    <t>CERA IMP. REALCE 3M</t>
  </si>
  <si>
    <t>CERA LIQ. PETROLEO P/ PISO MAD</t>
  </si>
  <si>
    <t>CERA PLAST. VERMELHA/SINTEKO</t>
  </si>
  <si>
    <t>DESINF. CONCENTRAX LAV. 1000x90</t>
  </si>
  <si>
    <t>DESENTUPIDOR GRANDE</t>
  </si>
  <si>
    <t>DESINF. AUDAX EUCALIPTO CX. 100</t>
  </si>
  <si>
    <t>DETERG. AUDAX CLEGEL CX. 100</t>
  </si>
  <si>
    <t>DETERG. AUDAX NEUTRO 2x5</t>
  </si>
  <si>
    <t>DETERG. C/AMON. SPI 18 TASK</t>
  </si>
  <si>
    <t>DISCO BRANCO 510</t>
  </si>
  <si>
    <t>DISCO 350 AMAR. POLIDOR 3M</t>
  </si>
  <si>
    <t>DISCO 350 PRETO REMOVEDOR 3M</t>
  </si>
  <si>
    <t>DISCO 350 VERDE LIMPADOR 3M</t>
  </si>
  <si>
    <t>DISCO 380 VERDE LIMPADOR 3M</t>
  </si>
  <si>
    <t>DISCO 410 AMAR. POLIDOR 3M</t>
  </si>
  <si>
    <t>DISCO 410 BRANCO LUSTRADOR 3M</t>
  </si>
  <si>
    <t>DISCO 410 PRETO REMOVEDOR 3M</t>
  </si>
  <si>
    <t>DISCO 410 VERDE LIMPADOR 3M</t>
  </si>
  <si>
    <t>DISCO 510 AMAR. POLIDOR 3M</t>
  </si>
  <si>
    <t>DISCO 510 PRETO REMOVEDOR 3M</t>
  </si>
  <si>
    <t>DISCO 510 VERDE LIMPADOR 3M</t>
  </si>
  <si>
    <t>DISCO 510 VERMELHO</t>
  </si>
  <si>
    <t>DISCO PELO DE PORCO P/HI SPEED</t>
  </si>
  <si>
    <t>ESCOVA LAVADEIRA DE NYLON</t>
  </si>
  <si>
    <t>ESPATULA REFORÇADA</t>
  </si>
  <si>
    <t>ESPONJA DPL FACE S.BRITH 75x1</t>
  </si>
  <si>
    <t>FIBRA LT BRC MACIA S.BRITH / 102</t>
  </si>
  <si>
    <t>FIBRA LT VERDE U.GERAL S.BRITH</t>
  </si>
  <si>
    <t>FILTRO DESC. WAP 10 LTDA</t>
  </si>
  <si>
    <t>FITA ZEBRADA AM/PRETA 10X30</t>
  </si>
  <si>
    <t>FLANELA BRANCA 30x40</t>
  </si>
  <si>
    <t>LAMINA BORRACHA 25 CM UNGER</t>
  </si>
  <si>
    <t>LAMINA BORRACHA 35 CM UNGER</t>
  </si>
  <si>
    <t>LAMINA BORRACHA 45 CM UNGER</t>
  </si>
  <si>
    <t>LAMINA BORRACHA 55 CM UNGER</t>
  </si>
  <si>
    <t>LIMPA FERRUGEM SEMORIM 50 ML</t>
  </si>
  <si>
    <t>LUSTRA MOVEIS BRILHO JONHSON</t>
  </si>
  <si>
    <t>LUVA BORR MEDIA C/FORRO SANRO</t>
  </si>
  <si>
    <t>LUVA BORR C/VERNIZ AMAR - G</t>
  </si>
  <si>
    <t>LUVA BORR C/VERNIZ AMAR - M</t>
  </si>
  <si>
    <t>LUVA BORR C/VERNIZ AMAR - P</t>
  </si>
  <si>
    <t>LUVA BORR SANRO GRD FORRO VERD</t>
  </si>
  <si>
    <t>LUVA BORR SANRO MED FORRO VERD</t>
  </si>
  <si>
    <t>LUVA BORR SANRO GRD C/FORRO</t>
  </si>
  <si>
    <t>LUVA DE LAVAR UNGER 35 CM</t>
  </si>
  <si>
    <t>LUVA PROCEDIMENTO (BLOWTEX)</t>
  </si>
  <si>
    <t>LUVA RASPA PUNHO 7 CM</t>
  </si>
  <si>
    <t>MACACAO TREVIRA AMARELO</t>
  </si>
  <si>
    <t>MASC. DESC. 3M COD. 8720</t>
  </si>
  <si>
    <t>MASC. PERM. C/FILTRO (CA789 PROT)</t>
  </si>
  <si>
    <t>MASC. PO DESC. 3M COD. 8500</t>
  </si>
  <si>
    <t>MAT. DIVERSOS 1092 P/PRUDENTE</t>
  </si>
  <si>
    <t>MOP PO COMP. 60 CM C.CB.ALUM</t>
  </si>
  <si>
    <t>OLEO DE MAMONA LA. PABA</t>
  </si>
  <si>
    <t>PA DE LIXO TERRALE</t>
  </si>
  <si>
    <t>PA P/LIXO CB CURTO 30 CM</t>
  </si>
  <si>
    <t>PA P/LIXO CB LONGO 65 CM</t>
  </si>
  <si>
    <t>PALHA AÇO FINA</t>
  </si>
  <si>
    <t>PALHA AÇO GROSSA</t>
  </si>
  <si>
    <t>PANO DE 1ª SACO ALG. ALVEJADO</t>
  </si>
  <si>
    <t>PANO DE PIA COLORIDO</t>
  </si>
  <si>
    <t>P. HIGIEN. 8x500 IDEAL PRATIC PLUS</t>
  </si>
  <si>
    <t>P.HIGIEN. DAMA/BOB FL.BRC PIC 40</t>
  </si>
  <si>
    <t>P. HIGIEN. MAX ROLAO 300 MTS</t>
  </si>
  <si>
    <t>P.TOALHA BOBINA BCO 20 x 200 c/4</t>
  </si>
  <si>
    <t>P.TOAHA SERRA INT. BCO 23x23</t>
  </si>
  <si>
    <t>POLIDOR DE METAIS BRASSO</t>
  </si>
  <si>
    <t>POLIDOR METAIS 200 ML</t>
  </si>
  <si>
    <t>PROTETOR AURIC. PLUG SILICONE</t>
  </si>
  <si>
    <t>PULV. MANUEL 1/2 LT</t>
  </si>
  <si>
    <t>REFIL BORRACHA 30 CM</t>
  </si>
  <si>
    <t>REFIL P/RODO ALUM. 100 CM</t>
  </si>
  <si>
    <t>REFIL P/RODO ALUM. 40 CM</t>
  </si>
  <si>
    <t>REFIL P/RODO ALUM. 60 CM</t>
  </si>
  <si>
    <t>REMOVEDOR CARP. 501 HINGIDOR</t>
  </si>
  <si>
    <t>REMOVEDOR COMUM P/MANCHAS</t>
  </si>
  <si>
    <t>REMOVEDOR DE CERA 3M</t>
  </si>
  <si>
    <t>RODO MAD. 100 MTS REFORÇADO</t>
  </si>
  <si>
    <t>RODO MAD. SIMPLES 40 CM CB MAD</t>
  </si>
  <si>
    <t>RODO MAD. SIMPLES 60 CM CB MAD</t>
  </si>
  <si>
    <t>SABONETE 20 LT PRATIC PLUS IDEAL</t>
  </si>
  <si>
    <t>SABONETE DOVE PEDRA</t>
  </si>
  <si>
    <t>SABON. LIQ. DOVE/LEVER COD. 2419</t>
  </si>
  <si>
    <t>SABONETEIRA GLOBO</t>
  </si>
  <si>
    <t>SACO AZUL 90 LT P/CARRO FUNC</t>
  </si>
  <si>
    <t>SACO DE LIXO VERDE 100 LTS</t>
  </si>
  <si>
    <t>SACO DE LIXO VERDE 60 LTS</t>
  </si>
  <si>
    <t>SACO P/ CARRO FUNC. AMARELO</t>
  </si>
  <si>
    <t>SACO P/LIXO 40 LT VERDE</t>
  </si>
  <si>
    <t>SACO P/LIXO AMARELO 100 LTS</t>
  </si>
  <si>
    <t>SACO P/LIXO AZUL 100 LTS</t>
  </si>
  <si>
    <t>SACO P/LIXO BRANCO 40 LTS</t>
  </si>
  <si>
    <t>SACO P/LIXO BRANCO 60 LTS</t>
  </si>
  <si>
    <t>SACO P/LIXO BRANCO 100 LTS</t>
  </si>
  <si>
    <t>SACO P/LIXO PRETO 100 LTS</t>
  </si>
  <si>
    <t>SACO P/LIXO PRETO 60 LTS</t>
  </si>
  <si>
    <t>SACO P/LIXO PRETO 200 LTS</t>
  </si>
  <si>
    <t>SACO P/LIXO VERM 100 LTS</t>
  </si>
  <si>
    <t>SAPOLIO PEDRA RADIUM 200 GR</t>
  </si>
  <si>
    <t>VASS. PIAÇAVA N 5</t>
  </si>
  <si>
    <t>VASSOURA DE PELO 40 C/CABO MAD</t>
  </si>
  <si>
    <t>VASSOURA ECOLOGICA V4</t>
  </si>
  <si>
    <t>VASSOURA LAVATINA NYLON C.MAD</t>
  </si>
  <si>
    <t>VASSOURA MAGICA COMPLETA</t>
  </si>
  <si>
    <t>VASSOURA PELO 30CM C. MAD 1.22</t>
  </si>
  <si>
    <t>VASSOURA PELO 60 CM C.MAD 1.22</t>
  </si>
  <si>
    <t>ALCOOL PURO 70%</t>
  </si>
  <si>
    <t>ALVEJANTE BACT HIPOCL. SODIO</t>
  </si>
  <si>
    <t>BALDE PLAST. DE 20 LTS</t>
  </si>
  <si>
    <t>CERA IMPERM. REALCE 3M</t>
  </si>
  <si>
    <t>CERA PLAST. PRETA P/SINTEKO L.18</t>
  </si>
  <si>
    <t>DESINF. CONCENTRAX PINHO CX.100</t>
  </si>
  <si>
    <t>DETERG. EM PO ALVO COD 2695 5K</t>
  </si>
  <si>
    <t>ESTOPA BRANCA DE 1ª</t>
  </si>
  <si>
    <t>FIBRA LT VERDE USO GERAL S.BRITH</t>
  </si>
  <si>
    <t>LUSTA MOVEIS BRILHO - 500 ML</t>
  </si>
  <si>
    <t>PA P/LIXO CABO CURTO 30 CM</t>
  </si>
  <si>
    <t>PALHA DE AÇO FINA</t>
  </si>
  <si>
    <t>PANO DE LIMPEZA DE 1ª - SACO ALV</t>
  </si>
  <si>
    <t>P.HIGIEN. NEVE FD C/64 ROLOS</t>
  </si>
  <si>
    <t>P.TOALHA SERRAN INTERF.BRC 1000</t>
  </si>
  <si>
    <t>RODO  MAD SIMPLES 40 CM CB MAD</t>
  </si>
  <si>
    <t>RODO MAD SIMPLES 60 CM CB MAD</t>
  </si>
  <si>
    <t>RODO UNGER 35 CM</t>
  </si>
  <si>
    <t>SABAO EM PEDRA DE COCO 200 GR</t>
  </si>
  <si>
    <t>SABON. LIQ.PEROLIZ SOFT GEL-BB50</t>
  </si>
  <si>
    <t>SACO DE LIXO 100 LTS PRETO</t>
  </si>
  <si>
    <t>SACO DE LIXO 200 LTS PRETO</t>
  </si>
  <si>
    <t>SACO DE LIXO 40 LTS VERDE</t>
  </si>
  <si>
    <t>SACO DE LIXO 60 LTS</t>
  </si>
  <si>
    <t>TELA DESOD. S/PREDRA IDEAL</t>
  </si>
  <si>
    <t>VASS. PIAÇAVA N.5 CB MAD 1.22</t>
  </si>
  <si>
    <t>VASS. TP PREF. PIAÇAVA 40 CM 1.22</t>
  </si>
  <si>
    <t>CONJTO BALDE PLAST/EXPREMEDOR</t>
  </si>
  <si>
    <t>REFIL MOP UMIDO TONKI</t>
  </si>
  <si>
    <t>CABO DE ALUM. MOP UMIDO TONKI</t>
  </si>
  <si>
    <t>SUPORTE LIMPA TUDO C/CB-BRALIMP</t>
  </si>
  <si>
    <t>ESCADA DE 05 DEGRAUS</t>
  </si>
  <si>
    <t>MANGUEIRA 30 MTS</t>
  </si>
  <si>
    <t>CONJTO MO PO PROF. 60 CM</t>
  </si>
  <si>
    <t>Ver planilhas analiticas anexas</t>
  </si>
  <si>
    <t>Carga Horária Mensal</t>
  </si>
  <si>
    <t>Quantidade de Pessoal</t>
  </si>
  <si>
    <t>Remuneração por Empregado</t>
  </si>
  <si>
    <t>+</t>
  </si>
  <si>
    <t>Encargos Sociais Incidentes</t>
  </si>
  <si>
    <t>Outros</t>
  </si>
  <si>
    <t>Qtd. de dias Trab. No mês</t>
  </si>
  <si>
    <t>DESPESAS OPERACIONAIS COM .....</t>
  </si>
  <si>
    <t>Média Mensal de Utilização do Veículo/Equip.:</t>
  </si>
  <si>
    <t>Valor do Veículo/Equip.:</t>
  </si>
  <si>
    <t>Custo/h</t>
  </si>
  <si>
    <t>% Para Manutenção</t>
  </si>
  <si>
    <t>Manutenção Mensal</t>
  </si>
  <si>
    <t>Manutenção e Peças - Equipamentos</t>
  </si>
  <si>
    <t>DESPESAS OPERACIONAIS COM VEÍCULO:</t>
  </si>
  <si>
    <t>Folguista</t>
  </si>
  <si>
    <t>H</t>
  </si>
  <si>
    <t>Emissão da Nota Fiscal</t>
  </si>
  <si>
    <t>( - ) IRPJ (Retido em NF)</t>
  </si>
  <si>
    <t>(+) Crédito de Pis  1,65%</t>
  </si>
  <si>
    <t>( - ) ISS (Retido em NF)</t>
  </si>
  <si>
    <t>(+) Crédito de Cofins 7,60%</t>
  </si>
  <si>
    <t>( - ) COFINS (Retido em NF)</t>
  </si>
  <si>
    <t>( - ) PIS</t>
  </si>
  <si>
    <t>( - ) PIS (Retido em NF)</t>
  </si>
  <si>
    <t>( - ) COFINS</t>
  </si>
  <si>
    <t>( - ) CSLL (Retido em NF)</t>
  </si>
  <si>
    <t>( - ) ISS</t>
  </si>
  <si>
    <t>( - ) INSS (Retido em NF)</t>
  </si>
  <si>
    <t>Receitas Líquida</t>
  </si>
  <si>
    <t>Total das Retenções</t>
  </si>
  <si>
    <t>( - ) Custo dos Serviços</t>
  </si>
  <si>
    <t>Valor Após as Retenções</t>
  </si>
  <si>
    <t>Lucro Bruto</t>
  </si>
  <si>
    <t>( - ) Despesas Administrativas</t>
  </si>
  <si>
    <t>( - ) Salários Pagos + Benefíicos</t>
  </si>
  <si>
    <t>Resultado antes do IRPJ e CSLL</t>
  </si>
  <si>
    <t>( - ) Encargos Sociais Recolhidos</t>
  </si>
  <si>
    <t>Provisão IRPJ</t>
  </si>
  <si>
    <t>Provisão IRPJ - Diferença</t>
  </si>
  <si>
    <t>Provisão CSLL</t>
  </si>
  <si>
    <t>Saldo de Caixa</t>
  </si>
  <si>
    <t>Lucro Líquido</t>
  </si>
  <si>
    <t>Recebido pela Empresa</t>
  </si>
  <si>
    <t>Fluxo de Caixa do Orçamento (Mensal)</t>
  </si>
  <si>
    <t>Demonstrativo de Resultado do Orçamento (Mensal)</t>
  </si>
  <si>
    <t>Aviso Prévio Trabalhado</t>
  </si>
  <si>
    <t>Escala de Revezamento</t>
  </si>
  <si>
    <t>Escala de Serviço</t>
  </si>
  <si>
    <t>Qtd de dias no mês</t>
  </si>
  <si>
    <t>Art. 64 da CLT</t>
  </si>
  <si>
    <t>Qtd de dias trabalhados</t>
  </si>
  <si>
    <t>por</t>
  </si>
  <si>
    <t>Qtd de dias de folga</t>
  </si>
  <si>
    <t>B + C</t>
  </si>
  <si>
    <t>Folgas por mês</t>
  </si>
  <si>
    <t>A / D</t>
  </si>
  <si>
    <t>Qtd de dias trabalhados no mês</t>
  </si>
  <si>
    <t>B X E</t>
  </si>
  <si>
    <t>Dias trabalhados</t>
  </si>
  <si>
    <t>Folgas</t>
  </si>
  <si>
    <t xml:space="preserve">Qtd. Folguista </t>
  </si>
  <si>
    <t>Dias úteis da semana</t>
  </si>
  <si>
    <t xml:space="preserve">   B x C (dias úteis na semana)</t>
  </si>
  <si>
    <t xml:space="preserve"> (Segunda a Sábado = 6 dias; ou Segunda a Sexta = 5 dias )</t>
  </si>
  <si>
    <t>Salário Base R$</t>
  </si>
  <si>
    <t xml:space="preserve">  D - F</t>
  </si>
  <si>
    <t xml:space="preserve">  G / 12 (meses ano)</t>
  </si>
  <si>
    <t>Cotação por:</t>
  </si>
  <si>
    <t>Total Geral:</t>
  </si>
  <si>
    <t>SIMULAÇÃO (Mensal)</t>
  </si>
  <si>
    <r>
      <t xml:space="preserve">VALOR TOTAL MENSAL </t>
    </r>
    <r>
      <rPr>
        <b/>
        <sz val="8"/>
        <color indexed="18"/>
        <rFont val="Arial"/>
        <family val="2"/>
      </rPr>
      <t>(SUBTOTAL I + SUBTOTAL II):</t>
    </r>
  </si>
  <si>
    <r>
      <t xml:space="preserve">SUBTOTAL I </t>
    </r>
    <r>
      <rPr>
        <b/>
        <sz val="8"/>
        <color indexed="18"/>
        <rFont val="Arial"/>
        <family val="2"/>
      </rPr>
      <t>(I + II + III):</t>
    </r>
  </si>
  <si>
    <t>REMUNERAÇÃO X 23,33% = A</t>
  </si>
  <si>
    <t>A  X  (MC) % = B</t>
  </si>
  <si>
    <t>(C) / (1 - % ET) ] = D</t>
  </si>
  <si>
    <t>Abono de Férias</t>
  </si>
  <si>
    <t xml:space="preserve">Férias </t>
  </si>
  <si>
    <t>10 - Abono de Férias</t>
  </si>
  <si>
    <t>11 - Auxílio Doença</t>
  </si>
  <si>
    <t>12 - Licença Paternidade/Maternidade</t>
  </si>
  <si>
    <t>13 - Faltas Legais</t>
  </si>
  <si>
    <t>14 - Acidentes de Trabalho</t>
  </si>
  <si>
    <t>15 - Aviso Prévio Trabalhado</t>
  </si>
  <si>
    <t>18 - Indenização Adicional</t>
  </si>
  <si>
    <t>19 - Indenização e provisão de 50% de FGTS</t>
  </si>
  <si>
    <t>Adicional II</t>
  </si>
  <si>
    <t>Criar Planilha que melhor atender para formação do valor Adicional II</t>
  </si>
  <si>
    <r>
      <t xml:space="preserve">Custo com Salários e Encargos               </t>
    </r>
    <r>
      <rPr>
        <b/>
        <sz val="8"/>
        <color indexed="18"/>
        <rFont val="Arial"/>
        <family val="2"/>
      </rPr>
      <t>( I + II )</t>
    </r>
  </si>
  <si>
    <t xml:space="preserve">                                                                                         TOTAL          III</t>
  </si>
  <si>
    <t xml:space="preserve">                                                                                                        TOTAL          ( I + II + III )</t>
  </si>
  <si>
    <r>
      <t xml:space="preserve">Encargos Tributários  </t>
    </r>
    <r>
      <rPr>
        <b/>
        <sz val="7"/>
        <color indexed="18"/>
        <rFont val="Arial"/>
        <family val="2"/>
      </rPr>
      <t>( TOTAL + DA) / (1 - % ET) ] x %ET</t>
    </r>
  </si>
  <si>
    <t>Aviso Prévio Indenizado</t>
  </si>
  <si>
    <t>Uniforme/EPI e EPC Completo</t>
  </si>
  <si>
    <t xml:space="preserve">UNIFORME E EPI </t>
  </si>
  <si>
    <t>SIMULAÇÃO (Anual)</t>
  </si>
  <si>
    <t>( - ) Férias + 13º Salário</t>
  </si>
  <si>
    <t>Fluxo de Caixa do Orçamento (Anual)</t>
  </si>
  <si>
    <t>Demonstrativo de Resultado do Orçamento (Anual)</t>
  </si>
  <si>
    <t>Valor Residual R$</t>
  </si>
  <si>
    <t>horas</t>
  </si>
  <si>
    <t>Projeto Físico</t>
  </si>
  <si>
    <t>Turno- h</t>
  </si>
  <si>
    <t>ADM</t>
  </si>
  <si>
    <t>X</t>
  </si>
  <si>
    <t>Regime</t>
  </si>
  <si>
    <t>Total de Postos</t>
  </si>
  <si>
    <t>Área de Atuação</t>
  </si>
  <si>
    <t>Local do Posto de Trabalho</t>
  </si>
  <si>
    <t>08:00        X       17:00</t>
  </si>
  <si>
    <t>08:00       X      16:00</t>
  </si>
  <si>
    <t>16:00       X      24:00</t>
  </si>
  <si>
    <t>00:00       x          06:00</t>
  </si>
  <si>
    <t>06:00       x          12:00</t>
  </si>
  <si>
    <t>12:00       x          18:00</t>
  </si>
  <si>
    <t>18:00       x          24:00</t>
  </si>
  <si>
    <t>Folguista de Escala</t>
  </si>
  <si>
    <t>Folguistas</t>
  </si>
  <si>
    <t>17 - Aviso Prévio Indenizado</t>
  </si>
  <si>
    <t>16 - 13º Salário</t>
  </si>
  <si>
    <t>Qtd. Postos</t>
  </si>
  <si>
    <t>Blusa Feminina</t>
  </si>
  <si>
    <t>Boné</t>
  </si>
  <si>
    <t>Bota de Borracha</t>
  </si>
  <si>
    <t>Calça</t>
  </si>
  <si>
    <t>Calça de chuva</t>
  </si>
  <si>
    <t>Calça Social</t>
  </si>
  <si>
    <t>Calça/Saia</t>
  </si>
  <si>
    <t>Calça/Saia social</t>
  </si>
  <si>
    <t>Calçado</t>
  </si>
  <si>
    <t>Calçado preto hidrofugado</t>
  </si>
  <si>
    <t>Camisa</t>
  </si>
  <si>
    <t>Camisa / Blusa social</t>
  </si>
  <si>
    <t>Capa de chuva</t>
  </si>
  <si>
    <t>Capacete de segurança</t>
  </si>
  <si>
    <t>Cardigan</t>
  </si>
  <si>
    <t>Cinto</t>
  </si>
  <si>
    <t>Cinto Social</t>
  </si>
  <si>
    <t>Cj. Calça e blusa</t>
  </si>
  <si>
    <t>Colete refletivo</t>
  </si>
  <si>
    <t>Gravata</t>
  </si>
  <si>
    <t>Luva de borracha</t>
  </si>
  <si>
    <t>Luva de borracha cano curto</t>
  </si>
  <si>
    <t>Luva de borracha cano longo</t>
  </si>
  <si>
    <t>Luva de raspa cano longo</t>
  </si>
  <si>
    <t>Luva latéx</t>
  </si>
  <si>
    <t>Luva raspa</t>
  </si>
  <si>
    <t>Máscara contra pó (descartável)</t>
  </si>
  <si>
    <t>Máscara descartável</t>
  </si>
  <si>
    <t>Máscara tipo focinheira</t>
  </si>
  <si>
    <t>Óculos de segurança</t>
  </si>
  <si>
    <t>Paletó/Blazer</t>
  </si>
  <si>
    <t>Protetor auricular tipo concha</t>
  </si>
  <si>
    <t>Protetor auricular tipo Plug</t>
  </si>
  <si>
    <t>Rede / Cabelo</t>
  </si>
  <si>
    <t>Sapato</t>
  </si>
  <si>
    <t>Sapato preto hidrofugado</t>
  </si>
  <si>
    <t>Sapato Social</t>
  </si>
  <si>
    <t>Sapato social preto</t>
  </si>
  <si>
    <t>Stalabart duplo</t>
  </si>
  <si>
    <t>Stalabart simples</t>
  </si>
  <si>
    <t>Sueter/Cardigan</t>
  </si>
  <si>
    <t>Touca</t>
  </si>
  <si>
    <t>2.4 - IMPOSTO SIMPLES</t>
  </si>
  <si>
    <t>2.4 - IMPOSTO SIMPLES                                até</t>
  </si>
  <si>
    <t>4. Conforme art. 13 da LCP 123/2006, o Imposto SIMPLES - IP compreende, dentre outros, os seguintes tributos: COFINS, PIS e ISS.</t>
  </si>
  <si>
    <t>5. Proposta elaborada com base na seguinte Convênção Coletiva de trabalho:</t>
  </si>
  <si>
    <t>Custo por Posto</t>
  </si>
  <si>
    <t>( - ) IMPOSTO SIMPLES</t>
  </si>
  <si>
    <t>( - ) Salários Pagos + Benefícios</t>
  </si>
  <si>
    <t>( - ) Material/Equip./Veiculos/Mant.</t>
  </si>
  <si>
    <t>Folguista Rendição</t>
  </si>
  <si>
    <t xml:space="preserve">09 - Férias </t>
  </si>
  <si>
    <t>% Adicional (Coluna 25):</t>
  </si>
  <si>
    <t>Folga Rendição</t>
  </si>
  <si>
    <t>Folga Agrupada</t>
  </si>
  <si>
    <t>Rendição</t>
  </si>
  <si>
    <t>meses</t>
  </si>
  <si>
    <t>Rendição (S)</t>
  </si>
  <si>
    <t>Folguista (S)</t>
  </si>
  <si>
    <t>Cargo/Função</t>
  </si>
  <si>
    <t>Incidência do Grupo A sobre os itens do Grupo B + item 17 - item 10</t>
  </si>
  <si>
    <t>20 - Incid. do "Grupo A" sobre os itens do "Grupo B" + item 17 - item 10</t>
  </si>
  <si>
    <t>coluna az</t>
  </si>
  <si>
    <t>Folguistas contemplam as folgas normais e rendição (quando orçado) .</t>
  </si>
  <si>
    <r>
      <t xml:space="preserve">IV. 1 - MARGEM DE CONTRIBUIÇÃO </t>
    </r>
    <r>
      <rPr>
        <sz val="8"/>
        <color indexed="18"/>
        <rFont val="Arial"/>
        <family val="2"/>
      </rPr>
      <t>(Despesas Administrativas e Lucro)</t>
    </r>
  </si>
  <si>
    <t>Obs: O Uniforme e EPI  são pagos por empregado, assim, nesse caso deverá ser ao orçado pela a quantidade de Empregados em Jornada Normal "mais" Empregados em Jornada de Escala "mais" os Folguistas de Escala (se houver) "mais" os Folguistas de Folgas Agrup</t>
  </si>
  <si>
    <t>3. A licitante adjudicatária deverá comprovar o regime tributário a que esta sujeita. No caso de lucro presumido o PIS e a COFINS serão limitados a 0,65% e 3,00%, respectivamente, na forma definida na Lei nº 10.833/03.O serviço de Vigilância e Segurança diciplinado pela Lei 7.102/83, terá a alíquota da COFINS de 3% , mesmo que tenha regime de tributação Lucro Real, em conformidade com o disposto no Art. 10 da Lei 10.833/03 e 0,65% para PIS conforme art. 8º da Lei 10.637/02.</t>
  </si>
  <si>
    <t>1. O total de encargos sociais não contempla o componente de custo relativo ao “aviso prévio final de contrato”, uma vez que a INFRAERO somente indenizará a Contratada, uma única vez, ao final do contrato (último pagamento) no valor correspondente a 23,33% do Item I – Remuneração de Pessoal da Planilha de Custos e Formação de Preços (7/30 x 100). Sobre o valor apurado incidirá o percentual da Margem de Contribuição e Encargos Tributários incidentes sobre o Faturamento. Ou seja, o valor da indenização referente ao final do contrato não deverá ser pago se houver prorrogação do prazo e só será pago na rescisão contratual.</t>
  </si>
  <si>
    <t xml:space="preserve">Observação: </t>
  </si>
  <si>
    <r>
      <t xml:space="preserve">1º) </t>
    </r>
    <r>
      <rPr>
        <sz val="10"/>
        <color indexed="18"/>
        <rFont val="Arial"/>
        <family val="2"/>
      </rPr>
      <t xml:space="preserve">O total de encargos sociais não contempla o componente de custo relativo ao “aviso prévio final de contrato”, uma vez que a INFRAERO somente indenizará a Contratada ao final do contrato (último pagamento) no valor correspondente a </t>
    </r>
    <r>
      <rPr>
        <b/>
        <sz val="10"/>
        <color indexed="18"/>
        <rFont val="Arial"/>
        <family val="2"/>
      </rPr>
      <t>23,33%</t>
    </r>
    <r>
      <rPr>
        <sz val="10"/>
        <color indexed="18"/>
        <rFont val="Arial"/>
        <family val="2"/>
      </rPr>
      <t xml:space="preserve"> do Item I – Remuneração de Pessoal da Planilha de Custos e Formação de Preços (7/30 x 100). Sobre o valor apurado incidirá o percentual da Margem de Contribuição e Encargos Tributários incidentes sobre o Faturamento. </t>
    </r>
  </si>
  <si>
    <r>
      <t>2º)</t>
    </r>
    <r>
      <rPr>
        <sz val="10"/>
        <color indexed="18"/>
        <rFont val="Arial"/>
        <family val="2"/>
      </rPr>
      <t xml:space="preserve"> No Grupo D a redução de 2,78% (1/36), refere-se às  Férias Indenizadas (100%), Abono Costitucional Indenizados ( 1/3 = 33,33% ) e Abono de Férias ( 1/3 = 33,33%), conforme alínea "d"e"e" do § 9º do art. 28 da Lei 8212/91 c/c o disposto no § 6º do art. 15 da Lei 8036/90 e art. 144 da CLT.</t>
    </r>
  </si>
  <si>
    <t>he</t>
  </si>
  <si>
    <t xml:space="preserve">7.1 Fator Acidentário de Prevenção – FAP </t>
  </si>
  <si>
    <t>Encargos Sociais (observar nota 2.3)</t>
  </si>
  <si>
    <t>2.2 As empresas optantes do Regime de Tributação Simples Nacional poderão cotar percentuais de tributos referentes a outros Regime, desde que declare sob pena da Lei que estará alterando o seu regime, nos termos da Legislação Vigente.  Caso não seja comprovada a alteração do Regime,  a INFRAERO fará as devidas adequações dos valores do contrato e, em decorrência, reduzido os valores cobrados a maior referentes aos tributos/impostos;</t>
  </si>
  <si>
    <t>2.1 Admitir-se-á percentual superior ao estabelecido para os Encargos Tributários - ET quando as licitantes forem optantes do Simples Nacional. Neste caso as licitantes deverão informar em que Anexo da Lei Complementar nº 123/2006 suas atividades serão tributadas.;</t>
  </si>
  <si>
    <t>2.3 Nas contratações dos serviços contínuos de limpeza e conservação, vigilância, segurança, proteção e outros, o percentual teto a ser usado na licitação será de 69,50%, sem o Fator Acidentário – FAP, podendo ser acréscido em até 3% no Grupo A com seus efeitos no Grupo D em até 0,58%, desde que comprovado, conforme o disposto no § 5 do artigo 202-A do Regulamento da Previdência Social;</t>
  </si>
  <si>
    <t>Douglas Ricardo Hipolito</t>
  </si>
  <si>
    <t xml:space="preserve">Convenção Coletiva de Trabalho do Sindicato dos Técnicos Agrícolas de Nível Médio do Estado de Santa Catarina (CNPJ 80.460.785/0001-14), Lei 4950A/66              
</t>
  </si>
  <si>
    <t>Biologo Ornitologo (Coord.)</t>
  </si>
  <si>
    <t>Veterinário</t>
  </si>
  <si>
    <t>Falcoeiro</t>
  </si>
  <si>
    <t>I</t>
  </si>
  <si>
    <t>MESU</t>
  </si>
  <si>
    <t>Sitio Aeroportuário</t>
  </si>
  <si>
    <t>08:00      X      12:00</t>
  </si>
  <si>
    <t>Óculos de Proteção</t>
  </si>
  <si>
    <t>Camiseta de Mangas Longas</t>
  </si>
  <si>
    <t>Camiseta de Mangas Curtas</t>
  </si>
  <si>
    <t>Capa de Chuva</t>
  </si>
  <si>
    <t>Pulover</t>
  </si>
  <si>
    <t>Protetor Auricular Tipo Plug</t>
  </si>
  <si>
    <t>Bermuda Múltiplos Bolsos</t>
  </si>
  <si>
    <t>Cinto de Couro</t>
  </si>
  <si>
    <t>Jaqueta tipo Parca</t>
  </si>
  <si>
    <t>Calça Sarja Múltiplos Bolsos</t>
  </si>
  <si>
    <t>Luvas de Raspa Comum</t>
  </si>
  <si>
    <t>Manga de Proteção de Raspa</t>
  </si>
  <si>
    <t>Calça Social Branca</t>
  </si>
  <si>
    <t>Camisa Social Manga Longa Branca</t>
  </si>
  <si>
    <t>Colete de Múltiplos Usos</t>
  </si>
  <si>
    <t xml:space="preserve">Botina </t>
  </si>
  <si>
    <t>Luva manejo de Falcoaria</t>
  </si>
  <si>
    <t>cx100</t>
  </si>
  <si>
    <t>Seringa 3ml</t>
  </si>
  <si>
    <t>Seringa 1ml</t>
  </si>
  <si>
    <t xml:space="preserve">Seringa 10ml </t>
  </si>
  <si>
    <t>Seringa 20ml</t>
  </si>
  <si>
    <t>cx</t>
  </si>
  <si>
    <t>frasco</t>
  </si>
  <si>
    <t>Glicose 5%</t>
  </si>
  <si>
    <t>Sonda uretral numero 14</t>
  </si>
  <si>
    <t>Xilazina 10ml</t>
  </si>
  <si>
    <t>Fluconazol 150ml cx com 2 comprimidos</t>
  </si>
  <si>
    <t>Nistatina suspensão 50 ml</t>
  </si>
  <si>
    <t>Soro pedialyte 500ml</t>
  </si>
  <si>
    <t>Solução fisiológica 0,9% 100ml</t>
  </si>
  <si>
    <t>Povidine iodo 10% 100ml</t>
  </si>
  <si>
    <t>unid</t>
  </si>
  <si>
    <t>Clindamicina 150mg (oralguard)</t>
  </si>
  <si>
    <t>Enrofloxacina 10% (zerotril)</t>
  </si>
  <si>
    <t>Ketamina 10ml (vetanarcol/dopalen)</t>
  </si>
  <si>
    <t>Luva Cirúrgica cx c/ 100</t>
  </si>
  <si>
    <t>Máscara descartável cx c/ 100</t>
  </si>
  <si>
    <t xml:space="preserve">Meloxican 7,5mg 10 comprimidos </t>
  </si>
  <si>
    <t xml:space="preserve">Luva Látex </t>
  </si>
  <si>
    <t>GPS</t>
  </si>
  <si>
    <t>Binóculos Aumento 10 e/ou 20 vezes</t>
  </si>
  <si>
    <t>Caixa de transporte Média</t>
  </si>
  <si>
    <t>Caixa de Transporte Pequena</t>
  </si>
  <si>
    <t>Máquina Fotográfica Digital Zoom12 x</t>
  </si>
  <si>
    <t>Cambão laço Ketch-All 120 cm</t>
  </si>
  <si>
    <t>Lanterna Jacaré</t>
  </si>
  <si>
    <t>Lanterna Comum</t>
  </si>
  <si>
    <t>Lanterna de Cabeça</t>
  </si>
  <si>
    <t>Alicate para abrir anilhas</t>
  </si>
  <si>
    <t>Alicate para fechar anilhas</t>
  </si>
  <si>
    <t>Rede de Neblina Malha 45mm (12 x 3,2mm)</t>
  </si>
  <si>
    <t>Gancho p/ serpente 45-100cm</t>
  </si>
  <si>
    <t>Rede de arremesso 240x240cm, fio 3, malha 50, c/ chumbo nas bordas</t>
  </si>
  <si>
    <t>Kit 1° Socorro</t>
  </si>
  <si>
    <t>Puça 80 cm c/ cabo de 120 cm</t>
  </si>
  <si>
    <t>Computador</t>
  </si>
  <si>
    <t>Impressora</t>
  </si>
  <si>
    <t>Sinalizador rotativo amarelo</t>
  </si>
  <si>
    <t>Capuz para falcão</t>
  </si>
  <si>
    <t>Armadilha tipo Shermann 300x80x90</t>
  </si>
  <si>
    <t>Armadilha p/ pombos 100x60x35</t>
  </si>
  <si>
    <t>Armadilha 115cmx40x40</t>
  </si>
  <si>
    <t>Balança de precisão 1000g, precisão 10g</t>
  </si>
  <si>
    <t>Balança de precisão 2000g, precisão 1g</t>
  </si>
  <si>
    <t>Saco p/ acomodação Ave/Morcego 30x40cm</t>
  </si>
  <si>
    <t>Régua metálica 50cm</t>
  </si>
  <si>
    <t>Caixa de ferramentas plástica tamanho médio 50x20x20</t>
  </si>
  <si>
    <t>Apito/Guizos</t>
  </si>
  <si>
    <t>Banheira</t>
  </si>
  <si>
    <t>Isca</t>
  </si>
  <si>
    <t>Poleiro em Arco</t>
  </si>
  <si>
    <t>Poleiro em Bloco</t>
  </si>
  <si>
    <t>Veículo 4x4</t>
  </si>
  <si>
    <t>Taxa de disponibilização de um gavião-asa-de-telha (Parabuteo unicinctus)</t>
  </si>
  <si>
    <t>Taxa de disponibilização de um falcão-de-coleira (Falco femoralis)</t>
  </si>
  <si>
    <t>Pagamento de Termo de Responsabilidade Técnica - TRT</t>
  </si>
  <si>
    <t>Apólice de seguro conforme exigências contidas na portaria 467/GM5 de 03 de junho de 1993 e I.A.C. 163/1001 A, de 05 de maio de 2004, que dispõe sobre a execução de serviços auxiliares de transporte aéreo nos aeroportos brasileiros. Cobre danos a terceiro</t>
  </si>
  <si>
    <t xml:space="preserve">Qtd. </t>
  </si>
  <si>
    <t>Custo Liquido por Item</t>
  </si>
  <si>
    <t>MC+ET</t>
  </si>
  <si>
    <t>=ADII!C16 Taxa de Disponibilização dos Cães e Salário/Insumos do Treinador</t>
  </si>
  <si>
    <t>Diárias em viagem de translocação</t>
  </si>
  <si>
    <t>Acionamentos Animais Sinantrópicos</t>
  </si>
  <si>
    <t>Aeroporto Internacional de Navegantes - Ministro Victor Konder</t>
  </si>
  <si>
    <t>SBNF</t>
  </si>
  <si>
    <t xml:space="preserve">Contratação de Serviço Contínuo de Falcoaria e Manejo de Fauna no Aeroporto Internacional de Navegantes - Ministro Victor Konder
</t>
  </si>
  <si>
    <t xml:space="preserve">Planilha de Custos e Formação de Preços de Serviços Contínuos de Falcoaria e Manejo de Fauna no Aeroporto Internacional de Navegantes - Ministro Victor Konder    
</t>
  </si>
  <si>
    <t>Rádio portátil</t>
  </si>
  <si>
    <t>Rádio móvel</t>
  </si>
</sst>
</file>

<file path=xl/styles.xml><?xml version="1.0" encoding="utf-8"?>
<styleSheet xmlns="http://schemas.openxmlformats.org/spreadsheetml/2006/main">
  <numFmts count="19">
    <numFmt numFmtId="167" formatCode="&quot;R$ &quot;#,##0.00_);[Red]\(&quot;R$ &quot;#,##0.00\)"/>
    <numFmt numFmtId="170" formatCode="_(&quot;R$ &quot;* #,##0.00_);_(&quot;R$ &quot;* \(#,##0.00\);_(&quot;R$ &quot;* &quot;-&quot;??_);_(@_)"/>
    <numFmt numFmtId="171" formatCode="_(* #,##0.00_);_(* \(#,##0.00\);_(* &quot;-&quot;??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&quot;R$ &quot;#,##0.00"/>
    <numFmt numFmtId="181" formatCode="0.000"/>
    <numFmt numFmtId="182" formatCode="_(* #,##0.000_);_(* \(#,##0.000\);_(* &quot;-&quot;??_);_(@_)"/>
    <numFmt numFmtId="183" formatCode="_(* #,##0.0000_);_(* \(#,##0.0000\);_(* &quot;-&quot;??_);_(@_)"/>
    <numFmt numFmtId="184" formatCode="#,##0.0000000_);[Red]\(#,##0.0000000\)"/>
    <numFmt numFmtId="185" formatCode="\$#,##0.00"/>
    <numFmt numFmtId="186" formatCode="00"/>
    <numFmt numFmtId="187" formatCode="\$#,##0"/>
    <numFmt numFmtId="188" formatCode="_(&quot;R$&quot;* #,##0_);_(&quot;R$&quot;* \(#,##0\);_(&quot;R$&quot;* &quot;-&quot;??_);_(@_)"/>
    <numFmt numFmtId="189" formatCode="h:mm"/>
    <numFmt numFmtId="190" formatCode="0.0%"/>
    <numFmt numFmtId="193" formatCode="h:mm;@"/>
    <numFmt numFmtId="194" formatCode="_(* #,##0.0_);_(* \(#,##0.0\);_(* &quot;-&quot;??_);_(@_)"/>
  </numFmts>
  <fonts count="14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9.4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7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6"/>
      <color indexed="22"/>
      <name val="Arial"/>
      <family val="2"/>
    </font>
    <font>
      <sz val="7"/>
      <color indexed="23"/>
      <name val="Arial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i/>
      <sz val="8"/>
      <name val="Arial"/>
      <family val="2"/>
    </font>
    <font>
      <sz val="7"/>
      <color indexed="55"/>
      <name val="Arial"/>
      <family val="2"/>
    </font>
    <font>
      <b/>
      <i/>
      <sz val="8"/>
      <color indexed="55"/>
      <name val="Arial"/>
      <family val="2"/>
    </font>
    <font>
      <b/>
      <sz val="7"/>
      <color indexed="55"/>
      <name val="Arial"/>
      <family val="2"/>
    </font>
    <font>
      <b/>
      <sz val="8"/>
      <color indexed="22"/>
      <name val="Arial"/>
      <family val="2"/>
    </font>
    <font>
      <sz val="7"/>
      <name val="Arial"/>
      <family val="2"/>
    </font>
    <font>
      <b/>
      <sz val="10"/>
      <color indexed="23"/>
      <name val="Arial"/>
      <family val="2"/>
    </font>
    <font>
      <sz val="7"/>
      <color indexed="81"/>
      <name val="Tahoma"/>
      <family val="2"/>
    </font>
    <font>
      <b/>
      <sz val="7"/>
      <color indexed="23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i/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0"/>
      <name val="Tahoma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2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7"/>
      <color indexed="18"/>
      <name val="Arial"/>
      <family val="2"/>
    </font>
    <font>
      <sz val="10"/>
      <color indexed="18"/>
      <name val="Arial"/>
      <family val="2"/>
    </font>
    <font>
      <sz val="7"/>
      <color indexed="62"/>
      <name val="Arial"/>
      <family val="2"/>
    </font>
    <font>
      <b/>
      <sz val="7"/>
      <color indexed="62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i/>
      <sz val="9"/>
      <color indexed="18"/>
      <name val="Arial"/>
      <family val="2"/>
    </font>
    <font>
      <sz val="7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23"/>
      <name val="Times New Roman"/>
      <family val="1"/>
    </font>
    <font>
      <b/>
      <sz val="11"/>
      <color indexed="9"/>
      <name val="Arial"/>
      <family val="2"/>
    </font>
    <font>
      <sz val="10"/>
      <color indexed="23"/>
      <name val="Arial"/>
      <family val="2"/>
    </font>
    <font>
      <b/>
      <sz val="8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b/>
      <i/>
      <sz val="10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Times New Roman"/>
      <family val="1"/>
    </font>
    <font>
      <b/>
      <sz val="11"/>
      <color indexed="54"/>
      <name val="Arial"/>
      <family val="2"/>
    </font>
    <font>
      <sz val="10"/>
      <color indexed="54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sz val="7"/>
      <color indexed="54"/>
      <name val="Arial"/>
      <family val="2"/>
    </font>
    <font>
      <b/>
      <i/>
      <sz val="8"/>
      <color indexed="62"/>
      <name val="Arial"/>
      <family val="2"/>
    </font>
    <font>
      <b/>
      <i/>
      <vertAlign val="superscript"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8"/>
      <color indexed="8"/>
      <name val="Tahoma"/>
      <family val="2"/>
    </font>
    <font>
      <b/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48"/>
      <name val="Arial"/>
      <family val="2"/>
    </font>
    <font>
      <u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12"/>
      <name val="Tahoma"/>
      <family val="2"/>
    </font>
    <font>
      <sz val="8"/>
      <color indexed="48"/>
      <name val="Tahoma"/>
      <family val="2"/>
    </font>
    <font>
      <sz val="7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2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9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55"/>
      </left>
      <right style="medium">
        <color indexed="63"/>
      </right>
      <top style="thin">
        <color indexed="55"/>
      </top>
      <bottom style="medium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/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double">
        <color indexed="23"/>
      </left>
      <right/>
      <top style="thin">
        <color indexed="23"/>
      </top>
      <bottom style="double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/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medium">
        <color indexed="2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 style="medium">
        <color indexed="23"/>
      </bottom>
      <diagonal/>
    </border>
    <border>
      <left style="thin">
        <color indexed="63"/>
      </left>
      <right style="medium">
        <color indexed="23"/>
      </right>
      <top style="thin">
        <color indexed="63"/>
      </top>
      <bottom/>
      <diagonal/>
    </border>
    <border>
      <left style="thin">
        <color indexed="63"/>
      </left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medium">
        <color indexed="6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1">
    <xf numFmtId="0" fontId="0" fillId="0" borderId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5" borderId="0" applyNumberFormat="0" applyBorder="0" applyAlignment="0" applyProtection="0"/>
    <xf numFmtId="0" fontId="116" fillId="8" borderId="0" applyNumberFormat="0" applyBorder="0" applyAlignment="0" applyProtection="0"/>
    <xf numFmtId="0" fontId="116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8" fillId="4" borderId="0" applyNumberFormat="0" applyBorder="0" applyAlignment="0" applyProtection="0"/>
    <xf numFmtId="0" fontId="119" fillId="16" borderId="1" applyNumberFormat="0" applyAlignment="0" applyProtection="0"/>
    <xf numFmtId="0" fontId="120" fillId="17" borderId="2" applyNumberFormat="0" applyAlignment="0" applyProtection="0"/>
    <xf numFmtId="0" fontId="121" fillId="0" borderId="3" applyNumberFormat="0" applyFill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21" borderId="0" applyNumberFormat="0" applyBorder="0" applyAlignment="0" applyProtection="0"/>
    <xf numFmtId="0" fontId="122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3" fillId="3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24" fillId="22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5" fillId="16" borderId="5" applyNumberFormat="0" applyAlignment="0" applyProtection="0"/>
    <xf numFmtId="171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1" fillId="0" borderId="8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</cellStyleXfs>
  <cellXfs count="1304">
    <xf numFmtId="0" fontId="0" fillId="0" borderId="0" xfId="0"/>
    <xf numFmtId="0" fontId="10" fillId="0" borderId="0" xfId="0" applyFont="1" applyFill="1" applyBorder="1" applyAlignment="1" applyProtection="1">
      <alignment vertical="center"/>
    </xf>
    <xf numFmtId="2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1" fontId="3" fillId="0" borderId="0" xfId="5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71" fontId="3" fillId="0" borderId="0" xfId="52" applyFont="1" applyFill="1" applyBorder="1" applyAlignment="1" applyProtection="1">
      <alignment horizontal="center" vertical="center"/>
    </xf>
    <xf numFmtId="171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182" fontId="3" fillId="0" borderId="0" xfId="52" applyNumberFormat="1" applyFont="1" applyFill="1" applyBorder="1" applyAlignment="1" applyProtection="1">
      <alignment horizontal="center" vertical="center"/>
    </xf>
    <xf numFmtId="49" fontId="3" fillId="0" borderId="0" xfId="52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left" vertical="center"/>
    </xf>
    <xf numFmtId="9" fontId="3" fillId="0" borderId="0" xfId="52" applyNumberFormat="1" applyFont="1" applyFill="1" applyBorder="1" applyAlignment="1" applyProtection="1">
      <alignment horizontal="center" vertical="center"/>
    </xf>
    <xf numFmtId="1" fontId="3" fillId="0" borderId="0" xfId="52" applyNumberFormat="1" applyFont="1" applyFill="1" applyBorder="1" applyAlignment="1" applyProtection="1">
      <alignment horizontal="center" vertical="center"/>
    </xf>
    <xf numFmtId="37" fontId="3" fillId="0" borderId="0" xfId="52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textRotation="45" wrapText="1"/>
    </xf>
    <xf numFmtId="181" fontId="10" fillId="0" borderId="0" xfId="0" applyNumberFormat="1" applyFont="1" applyFill="1" applyBorder="1" applyAlignment="1" applyProtection="1">
      <alignment horizontal="center" vertical="center" wrapText="1"/>
    </xf>
    <xf numFmtId="181" fontId="10" fillId="0" borderId="0" xfId="0" applyNumberFormat="1" applyFont="1" applyFill="1" applyBorder="1" applyAlignment="1" applyProtection="1">
      <alignment horizontal="center" vertical="center" textRotation="45" wrapText="1"/>
    </xf>
    <xf numFmtId="0" fontId="38" fillId="0" borderId="0" xfId="0" applyFont="1" applyFill="1" applyBorder="1" applyAlignment="1" applyProtection="1">
      <alignment horizontal="center" vertical="center" textRotation="45" wrapText="1"/>
    </xf>
    <xf numFmtId="2" fontId="10" fillId="0" borderId="0" xfId="0" applyNumberFormat="1" applyFont="1" applyFill="1" applyBorder="1" applyAlignment="1" applyProtection="1">
      <alignment horizontal="center" vertical="center" textRotation="45" wrapText="1"/>
    </xf>
    <xf numFmtId="171" fontId="10" fillId="0" borderId="0" xfId="52" applyFont="1" applyFill="1" applyBorder="1" applyAlignment="1" applyProtection="1">
      <alignment horizontal="center" vertical="center" textRotation="45" wrapText="1"/>
    </xf>
    <xf numFmtId="4" fontId="10" fillId="0" borderId="0" xfId="0" applyNumberFormat="1" applyFont="1" applyFill="1" applyBorder="1" applyAlignment="1" applyProtection="1">
      <alignment horizontal="center" vertical="center" textRotation="45" wrapText="1"/>
    </xf>
    <xf numFmtId="0" fontId="10" fillId="0" borderId="0" xfId="0" applyFont="1" applyFill="1" applyBorder="1" applyAlignment="1" applyProtection="1">
      <alignment horizontal="center" vertical="center" textRotation="45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 textRotation="45" wrapText="1"/>
    </xf>
    <xf numFmtId="49" fontId="25" fillId="0" borderId="0" xfId="0" applyNumberFormat="1" applyFont="1" applyFill="1" applyBorder="1" applyAlignment="1" applyProtection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171" fontId="19" fillId="0" borderId="0" xfId="0" applyNumberFormat="1" applyFont="1" applyFill="1" applyBorder="1" applyAlignment="1" applyProtection="1">
      <alignment vertical="center"/>
    </xf>
    <xf numFmtId="171" fontId="19" fillId="0" borderId="0" xfId="52" applyNumberFormat="1" applyFont="1" applyFill="1" applyBorder="1" applyAlignment="1" applyProtection="1">
      <alignment horizontal="right" vertical="center"/>
    </xf>
    <xf numFmtId="171" fontId="19" fillId="0" borderId="0" xfId="52" applyFont="1" applyFill="1" applyBorder="1" applyAlignment="1" applyProtection="1">
      <alignment horizontal="right" vertical="center"/>
    </xf>
    <xf numFmtId="171" fontId="19" fillId="0" borderId="0" xfId="52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171" fontId="19" fillId="0" borderId="0" xfId="52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</xf>
    <xf numFmtId="2" fontId="3" fillId="0" borderId="10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center" vertical="center" textRotation="45" wrapText="1"/>
    </xf>
    <xf numFmtId="2" fontId="51" fillId="0" borderId="11" xfId="0" applyNumberFormat="1" applyFont="1" applyFill="1" applyBorder="1" applyAlignment="1" applyProtection="1">
      <alignment horizontal="center" vertical="center" textRotation="90" wrapText="1"/>
    </xf>
    <xf numFmtId="0" fontId="51" fillId="0" borderId="0" xfId="0" applyFont="1" applyFill="1" applyBorder="1" applyAlignment="1" applyProtection="1">
      <alignment horizontal="center" vertical="center" textRotation="90" wrapText="1"/>
    </xf>
    <xf numFmtId="0" fontId="51" fillId="0" borderId="11" xfId="0" applyFont="1" applyFill="1" applyBorder="1" applyAlignment="1" applyProtection="1">
      <alignment horizontal="center" vertical="center" textRotation="90" wrapText="1"/>
    </xf>
    <xf numFmtId="181" fontId="51" fillId="0" borderId="11" xfId="0" applyNumberFormat="1" applyFont="1" applyFill="1" applyBorder="1" applyAlignment="1" applyProtection="1">
      <alignment horizontal="center" vertical="center" textRotation="90" wrapText="1"/>
    </xf>
    <xf numFmtId="181" fontId="51" fillId="0" borderId="0" xfId="0" applyNumberFormat="1" applyFont="1" applyFill="1" applyBorder="1" applyAlignment="1" applyProtection="1">
      <alignment horizontal="center" vertical="center" textRotation="90" wrapText="1"/>
    </xf>
    <xf numFmtId="0" fontId="51" fillId="0" borderId="11" xfId="0" applyFont="1" applyFill="1" applyBorder="1" applyAlignment="1" applyProtection="1">
      <alignment horizontal="center" vertical="center" textRotation="90" wrapText="1"/>
      <protection locked="0"/>
    </xf>
    <xf numFmtId="2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center" vertical="center"/>
    </xf>
    <xf numFmtId="2" fontId="55" fillId="0" borderId="0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2" fontId="51" fillId="0" borderId="0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/>
    <xf numFmtId="4" fontId="54" fillId="0" borderId="0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 applyProtection="1">
      <alignment horizontal="right" vertical="center"/>
    </xf>
    <xf numFmtId="4" fontId="51" fillId="0" borderId="0" xfId="0" applyNumberFormat="1" applyFont="1" applyFill="1" applyBorder="1" applyAlignment="1" applyProtection="1">
      <alignment horizontal="center" vertical="center" wrapText="1"/>
    </xf>
    <xf numFmtId="49" fontId="53" fillId="0" borderId="0" xfId="52" applyNumberFormat="1" applyFont="1" applyFill="1" applyBorder="1" applyAlignment="1" applyProtection="1">
      <alignment horizontal="center" vertical="center"/>
    </xf>
    <xf numFmtId="2" fontId="54" fillId="0" borderId="0" xfId="0" applyNumberFormat="1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3" fillId="0" borderId="0" xfId="0" applyFont="1" applyFill="1" applyBorder="1" applyAlignment="1" applyProtection="1">
      <alignment vertical="center"/>
    </xf>
    <xf numFmtId="2" fontId="51" fillId="0" borderId="11" xfId="0" applyNumberFormat="1" applyFont="1" applyFill="1" applyBorder="1" applyAlignment="1" applyProtection="1">
      <alignment horizontal="center" vertical="center" wrapText="1"/>
    </xf>
    <xf numFmtId="0" fontId="54" fillId="0" borderId="11" xfId="0" applyFont="1" applyFill="1" applyBorder="1" applyAlignment="1" applyProtection="1">
      <alignment vertical="center" wrapText="1"/>
      <protection locked="0"/>
    </xf>
    <xf numFmtId="1" fontId="40" fillId="0" borderId="0" xfId="52" applyNumberFormat="1" applyFont="1" applyFill="1" applyBorder="1" applyAlignment="1" applyProtection="1">
      <alignment horizontal="center" vertical="center"/>
    </xf>
    <xf numFmtId="193" fontId="54" fillId="0" borderId="11" xfId="0" applyNumberFormat="1" applyFont="1" applyFill="1" applyBorder="1" applyAlignment="1" applyProtection="1">
      <alignment vertical="center" wrapText="1"/>
      <protection locked="0"/>
    </xf>
    <xf numFmtId="189" fontId="54" fillId="0" borderId="11" xfId="0" applyNumberFormat="1" applyFont="1" applyFill="1" applyBorder="1" applyAlignment="1" applyProtection="1">
      <alignment vertical="center" wrapText="1"/>
      <protection locked="0"/>
    </xf>
    <xf numFmtId="189" fontId="54" fillId="0" borderId="11" xfId="0" applyNumberFormat="1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horizontal="center" vertical="center"/>
    </xf>
    <xf numFmtId="171" fontId="54" fillId="0" borderId="0" xfId="0" applyNumberFormat="1" applyFont="1" applyFill="1" applyBorder="1" applyAlignment="1" applyProtection="1">
      <alignment vertical="center"/>
    </xf>
    <xf numFmtId="171" fontId="54" fillId="0" borderId="11" xfId="52" applyNumberFormat="1" applyFont="1" applyFill="1" applyBorder="1" applyAlignment="1" applyProtection="1">
      <alignment vertical="center" wrapText="1"/>
      <protection locked="0"/>
    </xf>
    <xf numFmtId="2" fontId="54" fillId="0" borderId="11" xfId="0" applyNumberFormat="1" applyFont="1" applyFill="1" applyBorder="1" applyAlignment="1" applyProtection="1">
      <alignment vertical="center" wrapText="1"/>
      <protection locked="0"/>
    </xf>
    <xf numFmtId="179" fontId="54" fillId="0" borderId="11" xfId="0" applyNumberFormat="1" applyFont="1" applyFill="1" applyBorder="1" applyAlignment="1" applyProtection="1">
      <alignment vertical="center" wrapText="1"/>
      <protection locked="0"/>
    </xf>
    <xf numFmtId="2" fontId="54" fillId="0" borderId="11" xfId="0" applyNumberFormat="1" applyFont="1" applyFill="1" applyBorder="1" applyAlignment="1" applyProtection="1">
      <alignment horizontal="center" vertical="center"/>
      <protection locked="0"/>
    </xf>
    <xf numFmtId="171" fontId="54" fillId="0" borderId="11" xfId="52" applyFont="1" applyFill="1" applyBorder="1" applyAlignment="1" applyProtection="1">
      <alignment horizontal="center" vertical="center"/>
      <protection locked="0"/>
    </xf>
    <xf numFmtId="171" fontId="54" fillId="0" borderId="0" xfId="52" applyFont="1" applyFill="1" applyBorder="1" applyAlignment="1" applyProtection="1">
      <alignment horizontal="right" vertical="center"/>
    </xf>
    <xf numFmtId="9" fontId="54" fillId="0" borderId="11" xfId="52" applyNumberFormat="1" applyFont="1" applyFill="1" applyBorder="1" applyAlignment="1" applyProtection="1">
      <alignment horizontal="center" vertical="center"/>
      <protection locked="0"/>
    </xf>
    <xf numFmtId="49" fontId="54" fillId="0" borderId="11" xfId="0" applyNumberFormat="1" applyFont="1" applyFill="1" applyBorder="1" applyAlignment="1" applyProtection="1">
      <alignment horizontal="center" vertical="center"/>
      <protection locked="0"/>
    </xf>
    <xf numFmtId="1" fontId="54" fillId="0" borderId="11" xfId="0" applyNumberFormat="1" applyFont="1" applyFill="1" applyBorder="1" applyAlignment="1" applyProtection="1">
      <alignment horizontal="center" vertical="center"/>
      <protection locked="0"/>
    </xf>
    <xf numFmtId="171" fontId="40" fillId="0" borderId="0" xfId="52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182" fontId="47" fillId="0" borderId="0" xfId="52" applyNumberFormat="1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57" fillId="0" borderId="0" xfId="0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center" vertical="center"/>
    </xf>
    <xf numFmtId="0" fontId="60" fillId="24" borderId="0" xfId="0" applyFont="1" applyFill="1" applyBorder="1" applyAlignment="1">
      <alignment horizontal="center" vertical="center"/>
    </xf>
    <xf numFmtId="0" fontId="61" fillId="24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vertical="center"/>
    </xf>
    <xf numFmtId="0" fontId="61" fillId="24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vertical="center"/>
    </xf>
    <xf numFmtId="0" fontId="63" fillId="24" borderId="0" xfId="0" applyFont="1" applyFill="1" applyBorder="1" applyAlignment="1" applyProtection="1">
      <alignment vertical="center"/>
    </xf>
    <xf numFmtId="171" fontId="53" fillId="0" borderId="0" xfId="52" applyFont="1" applyFill="1" applyBorder="1" applyAlignment="1" applyProtection="1">
      <alignment vertical="center"/>
    </xf>
    <xf numFmtId="49" fontId="52" fillId="0" borderId="0" xfId="0" applyNumberFormat="1" applyFont="1" applyFill="1" applyBorder="1" applyAlignment="1" applyProtection="1">
      <alignment horizontal="left" vertical="center"/>
    </xf>
    <xf numFmtId="2" fontId="53" fillId="0" borderId="0" xfId="0" applyNumberFormat="1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53" fillId="0" borderId="13" xfId="0" applyFont="1" applyFill="1" applyBorder="1" applyAlignment="1" applyProtection="1">
      <alignment vertical="center"/>
    </xf>
    <xf numFmtId="49" fontId="52" fillId="0" borderId="13" xfId="0" applyNumberFormat="1" applyFont="1" applyFill="1" applyBorder="1" applyAlignment="1" applyProtection="1">
      <alignment horizontal="left" vertical="center"/>
    </xf>
    <xf numFmtId="171" fontId="53" fillId="0" borderId="13" xfId="52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67" fillId="24" borderId="0" xfId="0" applyFont="1" applyFill="1" applyBorder="1" applyAlignment="1" applyProtection="1">
      <alignment horizontal="center" vertical="center"/>
    </xf>
    <xf numFmtId="0" fontId="67" fillId="24" borderId="0" xfId="0" applyFont="1" applyFill="1" applyBorder="1" applyAlignment="1" applyProtection="1">
      <alignment vertical="center"/>
    </xf>
    <xf numFmtId="0" fontId="68" fillId="24" borderId="0" xfId="0" applyFont="1" applyFill="1" applyBorder="1" applyAlignment="1" applyProtection="1">
      <alignment horizontal="center" vertical="center"/>
    </xf>
    <xf numFmtId="0" fontId="68" fillId="24" borderId="0" xfId="0" applyFont="1" applyFill="1" applyBorder="1" applyAlignment="1" applyProtection="1">
      <alignment vertical="center"/>
    </xf>
    <xf numFmtId="2" fontId="53" fillId="0" borderId="15" xfId="0" applyNumberFormat="1" applyFont="1" applyFill="1" applyBorder="1" applyAlignment="1" applyProtection="1">
      <alignment vertical="center"/>
    </xf>
    <xf numFmtId="2" fontId="50" fillId="0" borderId="15" xfId="0" applyNumberFormat="1" applyFont="1" applyFill="1" applyBorder="1" applyAlignment="1" applyProtection="1">
      <alignment horizontal="right" vertical="center"/>
    </xf>
    <xf numFmtId="49" fontId="50" fillId="0" borderId="0" xfId="0" applyNumberFormat="1" applyFont="1" applyFill="1" applyBorder="1" applyAlignment="1" applyProtection="1">
      <alignment horizontal="left" vertical="center"/>
    </xf>
    <xf numFmtId="2" fontId="50" fillId="0" borderId="16" xfId="0" applyNumberFormat="1" applyFont="1" applyFill="1" applyBorder="1" applyAlignment="1" applyProtection="1">
      <alignment horizontal="right" vertical="center"/>
    </xf>
    <xf numFmtId="0" fontId="62" fillId="24" borderId="15" xfId="0" applyFont="1" applyFill="1" applyBorder="1" applyAlignment="1" applyProtection="1">
      <alignment horizontal="center" vertical="center"/>
    </xf>
    <xf numFmtId="0" fontId="69" fillId="24" borderId="0" xfId="0" applyFont="1" applyFill="1" applyBorder="1" applyAlignment="1" applyProtection="1">
      <alignment horizontal="center" vertical="center"/>
    </xf>
    <xf numFmtId="0" fontId="62" fillId="24" borderId="0" xfId="0" applyFont="1" applyFill="1" applyBorder="1" applyAlignment="1" applyProtection="1">
      <alignment horizontal="center" vertical="center"/>
    </xf>
    <xf numFmtId="0" fontId="62" fillId="24" borderId="0" xfId="0" applyFont="1" applyFill="1" applyBorder="1" applyAlignment="1" applyProtection="1">
      <alignment vertical="center"/>
    </xf>
    <xf numFmtId="0" fontId="70" fillId="0" borderId="0" xfId="0" applyFont="1" applyFill="1" applyBorder="1" applyAlignment="1" applyProtection="1">
      <alignment vertical="center"/>
    </xf>
    <xf numFmtId="0" fontId="70" fillId="0" borderId="12" xfId="0" applyFont="1" applyFill="1" applyBorder="1" applyAlignment="1" applyProtection="1">
      <alignment vertical="center"/>
    </xf>
    <xf numFmtId="1" fontId="62" fillId="24" borderId="11" xfId="0" applyNumberFormat="1" applyFont="1" applyFill="1" applyBorder="1" applyAlignment="1" applyProtection="1">
      <alignment horizontal="center" vertical="center"/>
      <protection locked="0"/>
    </xf>
    <xf numFmtId="0" fontId="69" fillId="24" borderId="0" xfId="0" applyFont="1" applyFill="1" applyBorder="1" applyAlignment="1" applyProtection="1">
      <alignment vertical="center"/>
    </xf>
    <xf numFmtId="1" fontId="62" fillId="24" borderId="0" xfId="0" applyNumberFormat="1" applyFont="1" applyFill="1" applyBorder="1" applyAlignment="1" applyProtection="1">
      <alignment horizontal="center" vertical="center"/>
    </xf>
    <xf numFmtId="0" fontId="62" fillId="24" borderId="16" xfId="0" applyFont="1" applyFill="1" applyBorder="1" applyAlignment="1" applyProtection="1">
      <alignment horizontal="center" vertical="center"/>
    </xf>
    <xf numFmtId="0" fontId="62" fillId="0" borderId="13" xfId="0" applyFont="1" applyFill="1" applyBorder="1" applyAlignment="1" applyProtection="1">
      <alignment vertical="center"/>
    </xf>
    <xf numFmtId="1" fontId="62" fillId="24" borderId="13" xfId="0" applyNumberFormat="1" applyFont="1" applyFill="1" applyBorder="1" applyAlignment="1" applyProtection="1">
      <alignment horizontal="center" vertical="center"/>
    </xf>
    <xf numFmtId="0" fontId="70" fillId="0" borderId="13" xfId="0" applyFont="1" applyFill="1" applyBorder="1" applyAlignment="1" applyProtection="1">
      <alignment vertical="center"/>
    </xf>
    <xf numFmtId="0" fontId="70" fillId="0" borderId="14" xfId="0" applyFont="1" applyFill="1" applyBorder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7" fillId="24" borderId="0" xfId="0" applyFont="1" applyFill="1" applyAlignment="1" applyProtection="1">
      <alignment vertical="center"/>
    </xf>
    <xf numFmtId="2" fontId="7" fillId="24" borderId="0" xfId="0" applyNumberFormat="1" applyFont="1" applyFill="1" applyAlignment="1" applyProtection="1">
      <alignment vertical="center"/>
    </xf>
    <xf numFmtId="0" fontId="7" fillId="24" borderId="0" xfId="0" applyNumberFormat="1" applyFont="1" applyFill="1" applyAlignment="1" applyProtection="1">
      <alignment vertical="center"/>
    </xf>
    <xf numFmtId="10" fontId="7" fillId="24" borderId="0" xfId="0" applyNumberFormat="1" applyFont="1" applyFill="1" applyAlignment="1" applyProtection="1">
      <alignment horizontal="center" vertical="center"/>
    </xf>
    <xf numFmtId="0" fontId="25" fillId="24" borderId="0" xfId="0" applyFont="1" applyFill="1" applyBorder="1" applyAlignment="1" applyProtection="1">
      <alignment vertical="center"/>
    </xf>
    <xf numFmtId="0" fontId="7" fillId="24" borderId="0" xfId="0" applyFont="1" applyFill="1" applyBorder="1" applyAlignment="1" applyProtection="1">
      <alignment vertical="center"/>
    </xf>
    <xf numFmtId="2" fontId="7" fillId="24" borderId="0" xfId="0" applyNumberFormat="1" applyFont="1" applyFill="1" applyBorder="1" applyAlignment="1" applyProtection="1">
      <alignment vertical="center"/>
    </xf>
    <xf numFmtId="0" fontId="7" fillId="24" borderId="0" xfId="0" applyNumberFormat="1" applyFont="1" applyFill="1" applyBorder="1" applyAlignment="1" applyProtection="1">
      <alignment vertical="center"/>
    </xf>
    <xf numFmtId="10" fontId="10" fillId="24" borderId="0" xfId="0" applyNumberFormat="1" applyFont="1" applyFill="1" applyBorder="1" applyAlignment="1" applyProtection="1">
      <alignment horizontal="center" vertical="center"/>
    </xf>
    <xf numFmtId="0" fontId="10" fillId="25" borderId="0" xfId="0" applyFont="1" applyFill="1" applyBorder="1" applyAlignment="1" applyProtection="1">
      <alignment horizontal="center" vertical="center" wrapText="1"/>
    </xf>
    <xf numFmtId="1" fontId="7" fillId="25" borderId="0" xfId="0" applyNumberFormat="1" applyFont="1" applyFill="1" applyBorder="1" applyAlignment="1" applyProtection="1">
      <alignment vertical="center" wrapText="1"/>
    </xf>
    <xf numFmtId="49" fontId="10" fillId="25" borderId="0" xfId="0" applyNumberFormat="1" applyFont="1" applyFill="1" applyBorder="1" applyAlignment="1" applyProtection="1">
      <alignment horizontal="center" vertical="center"/>
    </xf>
    <xf numFmtId="0" fontId="10" fillId="25" borderId="0" xfId="0" applyNumberFormat="1" applyFont="1" applyFill="1" applyBorder="1" applyAlignment="1" applyProtection="1">
      <alignment horizontal="center" vertical="center" wrapText="1"/>
    </xf>
    <xf numFmtId="2" fontId="10" fillId="25" borderId="0" xfId="0" applyNumberFormat="1" applyFont="1" applyFill="1" applyBorder="1" applyAlignment="1" applyProtection="1">
      <alignment horizontal="center" vertical="center" wrapText="1"/>
    </xf>
    <xf numFmtId="10" fontId="10" fillId="25" borderId="0" xfId="0" applyNumberFormat="1" applyFont="1" applyFill="1" applyBorder="1" applyAlignment="1" applyProtection="1">
      <alignment horizontal="center" vertical="center" wrapText="1"/>
    </xf>
    <xf numFmtId="49" fontId="25" fillId="24" borderId="0" xfId="0" applyNumberFormat="1" applyFont="1" applyFill="1" applyAlignment="1" applyProtection="1">
      <alignment horizontal="center" vertical="center"/>
    </xf>
    <xf numFmtId="0" fontId="25" fillId="24" borderId="0" xfId="0" applyNumberFormat="1" applyFont="1" applyFill="1" applyAlignment="1" applyProtection="1">
      <alignment horizontal="center" vertical="center"/>
    </xf>
    <xf numFmtId="0" fontId="10" fillId="25" borderId="0" xfId="0" applyFont="1" applyFill="1" applyBorder="1" applyAlignment="1" applyProtection="1">
      <alignment horizontal="left" vertical="center" wrapText="1"/>
    </xf>
    <xf numFmtId="185" fontId="7" fillId="25" borderId="0" xfId="0" applyNumberFormat="1" applyFont="1" applyFill="1" applyBorder="1" applyAlignment="1" applyProtection="1">
      <alignment vertical="center" wrapText="1"/>
    </xf>
    <xf numFmtId="0" fontId="10" fillId="24" borderId="0" xfId="0" applyFont="1" applyFill="1" applyBorder="1" applyAlignment="1" applyProtection="1">
      <alignment horizontal="left" vertical="center"/>
    </xf>
    <xf numFmtId="186" fontId="7" fillId="24" borderId="0" xfId="0" applyNumberFormat="1" applyFont="1" applyFill="1" applyBorder="1" applyAlignment="1" applyProtection="1">
      <alignment horizontal="center" vertical="center"/>
    </xf>
    <xf numFmtId="171" fontId="10" fillId="24" borderId="0" xfId="52" applyFont="1" applyFill="1" applyBorder="1" applyAlignment="1" applyProtection="1">
      <alignment vertical="center"/>
    </xf>
    <xf numFmtId="2" fontId="10" fillId="24" borderId="0" xfId="0" applyNumberFormat="1" applyFont="1" applyFill="1" applyBorder="1" applyAlignment="1" applyProtection="1">
      <alignment horizontal="center" vertical="center"/>
    </xf>
    <xf numFmtId="0" fontId="58" fillId="25" borderId="17" xfId="0" applyFont="1" applyFill="1" applyBorder="1" applyAlignment="1" applyProtection="1">
      <alignment horizontal="center" vertical="center" wrapText="1"/>
    </xf>
    <xf numFmtId="0" fontId="58" fillId="25" borderId="0" xfId="0" applyFont="1" applyFill="1" applyBorder="1" applyAlignment="1" applyProtection="1">
      <alignment horizontal="right" vertical="center" wrapText="1"/>
    </xf>
    <xf numFmtId="1" fontId="51" fillId="24" borderId="11" xfId="0" applyNumberFormat="1" applyFont="1" applyFill="1" applyBorder="1" applyAlignment="1" applyProtection="1">
      <alignment horizontal="center" vertical="center"/>
      <protection locked="0"/>
    </xf>
    <xf numFmtId="2" fontId="51" fillId="24" borderId="11" xfId="0" applyNumberFormat="1" applyFont="1" applyFill="1" applyBorder="1" applyAlignment="1" applyProtection="1">
      <alignment horizontal="center" vertical="center"/>
      <protection locked="0"/>
    </xf>
    <xf numFmtId="10" fontId="51" fillId="24" borderId="11" xfId="0" applyNumberFormat="1" applyFont="1" applyFill="1" applyBorder="1" applyAlignment="1" applyProtection="1">
      <alignment horizontal="center" vertical="center" wrapText="1"/>
      <protection locked="0"/>
    </xf>
    <xf numFmtId="9" fontId="51" fillId="24" borderId="11" xfId="5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 applyProtection="1">
      <alignment horizontal="center" vertical="center"/>
    </xf>
    <xf numFmtId="0" fontId="51" fillId="25" borderId="0" xfId="0" applyFont="1" applyFill="1" applyBorder="1" applyAlignment="1" applyProtection="1">
      <alignment horizontal="right" vertical="center" wrapText="1"/>
    </xf>
    <xf numFmtId="171" fontId="7" fillId="24" borderId="0" xfId="52" applyFont="1" applyFill="1" applyAlignment="1" applyProtection="1">
      <alignment vertical="center"/>
    </xf>
    <xf numFmtId="171" fontId="58" fillId="24" borderId="0" xfId="52" applyFont="1" applyFill="1" applyBorder="1" applyAlignment="1" applyProtection="1">
      <alignment horizontal="right" vertical="center"/>
    </xf>
    <xf numFmtId="0" fontId="65" fillId="24" borderId="0" xfId="0" applyFont="1" applyFill="1" applyBorder="1" applyAlignment="1" applyProtection="1">
      <alignment vertical="center"/>
    </xf>
    <xf numFmtId="0" fontId="35" fillId="24" borderId="0" xfId="0" applyFont="1" applyFill="1" applyAlignment="1" applyProtection="1">
      <alignment horizontal="center" vertical="center"/>
    </xf>
    <xf numFmtId="0" fontId="20" fillId="24" borderId="0" xfId="0" applyFont="1" applyFill="1" applyAlignment="1" applyProtection="1">
      <alignment vertical="center"/>
    </xf>
    <xf numFmtId="2" fontId="20" fillId="24" borderId="0" xfId="0" applyNumberFormat="1" applyFont="1" applyFill="1" applyAlignment="1" applyProtection="1">
      <alignment vertical="center"/>
    </xf>
    <xf numFmtId="0" fontId="37" fillId="24" borderId="0" xfId="0" applyFont="1" applyFill="1" applyAlignment="1" applyProtection="1">
      <alignment horizontal="center" vertical="center"/>
    </xf>
    <xf numFmtId="0" fontId="10" fillId="24" borderId="0" xfId="0" applyFont="1" applyFill="1" applyAlignment="1" applyProtection="1">
      <alignment horizontal="center" vertical="center"/>
    </xf>
    <xf numFmtId="0" fontId="10" fillId="24" borderId="0" xfId="0" applyFont="1" applyFill="1" applyBorder="1" applyAlignment="1" applyProtection="1">
      <alignment horizontal="center" vertical="center"/>
    </xf>
    <xf numFmtId="2" fontId="21" fillId="24" borderId="0" xfId="0" applyNumberFormat="1" applyFont="1" applyFill="1" applyBorder="1" applyAlignment="1" applyProtection="1">
      <alignment horizontal="center" vertical="center" wrapText="1"/>
    </xf>
    <xf numFmtId="0" fontId="21" fillId="24" borderId="0" xfId="0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vertical="center"/>
    </xf>
    <xf numFmtId="187" fontId="3" fillId="25" borderId="0" xfId="0" applyNumberFormat="1" applyFont="1" applyFill="1" applyBorder="1" applyAlignment="1" applyProtection="1">
      <alignment horizontal="center" vertical="center"/>
    </xf>
    <xf numFmtId="171" fontId="3" fillId="25" borderId="0" xfId="52" applyFont="1" applyFill="1" applyBorder="1" applyAlignment="1" applyProtection="1">
      <alignment vertical="center"/>
    </xf>
    <xf numFmtId="49" fontId="35" fillId="24" borderId="0" xfId="0" applyNumberFormat="1" applyFont="1" applyFill="1" applyAlignment="1" applyProtection="1">
      <alignment horizontal="center" vertical="center"/>
    </xf>
    <xf numFmtId="49" fontId="33" fillId="24" borderId="0" xfId="0" applyNumberFormat="1" applyFont="1" applyFill="1" applyAlignment="1" applyProtection="1">
      <alignment horizontal="center" vertical="center"/>
    </xf>
    <xf numFmtId="0" fontId="35" fillId="24" borderId="0" xfId="0" applyFont="1" applyFill="1" applyAlignment="1" applyProtection="1">
      <alignment horizontal="center" vertical="center" wrapText="1"/>
    </xf>
    <xf numFmtId="185" fontId="20" fillId="25" borderId="0" xfId="0" applyNumberFormat="1" applyFont="1" applyFill="1" applyBorder="1" applyAlignment="1" applyProtection="1">
      <alignment vertical="center" wrapText="1"/>
    </xf>
    <xf numFmtId="167" fontId="20" fillId="25" borderId="0" xfId="0" applyNumberFormat="1" applyFont="1" applyFill="1" applyBorder="1" applyAlignment="1" applyProtection="1">
      <alignment vertical="center" wrapText="1"/>
    </xf>
    <xf numFmtId="0" fontId="20" fillId="24" borderId="0" xfId="0" applyFont="1" applyFill="1" applyAlignment="1" applyProtection="1">
      <alignment vertical="center" wrapText="1"/>
    </xf>
    <xf numFmtId="0" fontId="3" fillId="25" borderId="0" xfId="0" applyFont="1" applyFill="1" applyBorder="1" applyAlignment="1" applyProtection="1">
      <alignment horizontal="center" vertical="center" wrapText="1"/>
    </xf>
    <xf numFmtId="2" fontId="3" fillId="25" borderId="0" xfId="0" applyNumberFormat="1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horizontal="left" vertical="center"/>
    </xf>
    <xf numFmtId="2" fontId="3" fillId="25" borderId="0" xfId="0" applyNumberFormat="1" applyFont="1" applyFill="1" applyBorder="1" applyAlignment="1" applyProtection="1">
      <alignment vertical="center"/>
    </xf>
    <xf numFmtId="1" fontId="20" fillId="25" borderId="0" xfId="0" applyNumberFormat="1" applyFont="1" applyFill="1" applyBorder="1" applyAlignment="1" applyProtection="1">
      <alignment horizontal="center" vertical="center"/>
    </xf>
    <xf numFmtId="185" fontId="20" fillId="25" borderId="0" xfId="0" applyNumberFormat="1" applyFont="1" applyFill="1" applyBorder="1" applyAlignment="1" applyProtection="1">
      <alignment vertical="center"/>
    </xf>
    <xf numFmtId="167" fontId="20" fillId="25" borderId="0" xfId="0" applyNumberFormat="1" applyFont="1" applyFill="1" applyBorder="1" applyAlignment="1" applyProtection="1">
      <alignment vertical="center"/>
    </xf>
    <xf numFmtId="171" fontId="3" fillId="24" borderId="0" xfId="52" applyFont="1" applyFill="1" applyBorder="1" applyAlignment="1" applyProtection="1">
      <alignment vertical="center"/>
    </xf>
    <xf numFmtId="0" fontId="3" fillId="25" borderId="0" xfId="0" applyFont="1" applyFill="1" applyBorder="1" applyAlignment="1" applyProtection="1">
      <alignment horizontal="left" vertical="center" wrapText="1"/>
      <protection locked="0"/>
    </xf>
    <xf numFmtId="2" fontId="3" fillId="25" borderId="0" xfId="0" applyNumberFormat="1" applyFont="1" applyFill="1" applyBorder="1" applyAlignment="1" applyProtection="1">
      <alignment horizontal="center" vertical="center"/>
      <protection locked="0"/>
    </xf>
    <xf numFmtId="171" fontId="3" fillId="25" borderId="0" xfId="52" applyFont="1" applyFill="1" applyBorder="1" applyAlignment="1" applyProtection="1">
      <alignment vertical="center"/>
      <protection locked="0"/>
    </xf>
    <xf numFmtId="0" fontId="53" fillId="25" borderId="1" xfId="0" applyFont="1" applyFill="1" applyBorder="1" applyAlignment="1" applyProtection="1">
      <alignment horizontal="left" vertical="center" wrapText="1"/>
      <protection locked="0"/>
    </xf>
    <xf numFmtId="0" fontId="53" fillId="25" borderId="1" xfId="0" applyFont="1" applyFill="1" applyBorder="1" applyAlignment="1" applyProtection="1">
      <alignment horizontal="center" vertical="center" wrapText="1"/>
      <protection locked="0"/>
    </xf>
    <xf numFmtId="2" fontId="53" fillId="25" borderId="18" xfId="0" applyNumberFormat="1" applyFont="1" applyFill="1" applyBorder="1" applyAlignment="1" applyProtection="1">
      <alignment horizontal="center" vertical="center" wrapText="1"/>
      <protection locked="0"/>
    </xf>
    <xf numFmtId="2" fontId="53" fillId="25" borderId="1" xfId="0" applyNumberFormat="1" applyFont="1" applyFill="1" applyBorder="1" applyAlignment="1" applyProtection="1">
      <alignment horizontal="center" vertical="center"/>
      <protection locked="0"/>
    </xf>
    <xf numFmtId="171" fontId="53" fillId="25" borderId="18" xfId="52" applyFont="1" applyFill="1" applyBorder="1" applyAlignment="1" applyProtection="1">
      <alignment vertical="center"/>
      <protection locked="0"/>
    </xf>
    <xf numFmtId="0" fontId="53" fillId="25" borderId="19" xfId="0" applyFont="1" applyFill="1" applyBorder="1" applyAlignment="1" applyProtection="1">
      <alignment horizontal="left" vertical="center" wrapText="1"/>
      <protection locked="0"/>
    </xf>
    <xf numFmtId="2" fontId="53" fillId="25" borderId="19" xfId="0" applyNumberFormat="1" applyFont="1" applyFill="1" applyBorder="1" applyAlignment="1" applyProtection="1">
      <alignment horizontal="center" vertical="center"/>
      <protection locked="0"/>
    </xf>
    <xf numFmtId="171" fontId="53" fillId="25" borderId="17" xfId="52" applyFont="1" applyFill="1" applyBorder="1" applyAlignment="1" applyProtection="1">
      <alignment vertical="center"/>
      <protection locked="0"/>
    </xf>
    <xf numFmtId="0" fontId="47" fillId="25" borderId="19" xfId="0" applyFont="1" applyFill="1" applyBorder="1" applyAlignment="1" applyProtection="1">
      <alignment horizontal="center" vertical="center" wrapText="1"/>
    </xf>
    <xf numFmtId="2" fontId="47" fillId="25" borderId="19" xfId="0" applyNumberFormat="1" applyFont="1" applyFill="1" applyBorder="1" applyAlignment="1" applyProtection="1">
      <alignment horizontal="center" vertical="center" wrapText="1"/>
    </xf>
    <xf numFmtId="185" fontId="72" fillId="25" borderId="20" xfId="0" applyNumberFormat="1" applyFont="1" applyFill="1" applyBorder="1" applyAlignment="1" applyProtection="1">
      <alignment vertical="center" wrapText="1"/>
    </xf>
    <xf numFmtId="167" fontId="72" fillId="25" borderId="20" xfId="0" applyNumberFormat="1" applyFont="1" applyFill="1" applyBorder="1" applyAlignment="1" applyProtection="1">
      <alignment vertical="center" wrapText="1"/>
    </xf>
    <xf numFmtId="0" fontId="47" fillId="25" borderId="17" xfId="0" applyFont="1" applyFill="1" applyBorder="1" applyAlignment="1" applyProtection="1">
      <alignment horizontal="center" vertical="center" wrapText="1"/>
    </xf>
    <xf numFmtId="187" fontId="47" fillId="25" borderId="0" xfId="0" applyNumberFormat="1" applyFont="1" applyFill="1" applyBorder="1" applyAlignment="1" applyProtection="1">
      <alignment horizontal="right" vertical="center"/>
    </xf>
    <xf numFmtId="0" fontId="33" fillId="24" borderId="0" xfId="0" applyNumberFormat="1" applyFont="1" applyFill="1" applyBorder="1" applyAlignment="1" applyProtection="1">
      <alignment horizontal="center" vertical="center" wrapText="1"/>
    </xf>
    <xf numFmtId="49" fontId="33" fillId="24" borderId="0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 applyProtection="1">
      <alignment vertical="center"/>
    </xf>
    <xf numFmtId="0" fontId="0" fillId="24" borderId="0" xfId="0" applyFill="1" applyAlignment="1" applyProtection="1">
      <alignment vertical="center"/>
    </xf>
    <xf numFmtId="0" fontId="8" fillId="24" borderId="0" xfId="0" applyFont="1" applyFill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vertical="center"/>
    </xf>
    <xf numFmtId="0" fontId="14" fillId="25" borderId="0" xfId="0" applyFont="1" applyFill="1" applyBorder="1" applyAlignment="1" applyProtection="1">
      <alignment horizontal="center" vertical="center" wrapText="1"/>
    </xf>
    <xf numFmtId="0" fontId="13" fillId="25" borderId="0" xfId="0" applyFont="1" applyFill="1" applyBorder="1" applyAlignment="1" applyProtection="1">
      <alignment horizontal="center" vertical="center" wrapText="1"/>
    </xf>
    <xf numFmtId="0" fontId="15" fillId="25" borderId="0" xfId="0" applyFont="1" applyFill="1" applyBorder="1" applyAlignment="1" applyProtection="1">
      <alignment horizontal="center" vertical="center" wrapText="1"/>
    </xf>
    <xf numFmtId="0" fontId="20" fillId="25" borderId="0" xfId="0" applyFont="1" applyFill="1" applyBorder="1" applyAlignment="1" applyProtection="1">
      <alignment horizontal="left" vertical="center" wrapText="1"/>
    </xf>
    <xf numFmtId="10" fontId="18" fillId="25" borderId="0" xfId="0" applyNumberFormat="1" applyFont="1" applyFill="1" applyBorder="1" applyAlignment="1" applyProtection="1">
      <alignment horizontal="center" vertical="center" wrapText="1"/>
    </xf>
    <xf numFmtId="10" fontId="7" fillId="24" borderId="0" xfId="0" applyNumberFormat="1" applyFont="1" applyFill="1" applyBorder="1" applyAlignment="1" applyProtection="1">
      <alignment horizontal="right" vertical="top"/>
    </xf>
    <xf numFmtId="10" fontId="8" fillId="25" borderId="0" xfId="0" applyNumberFormat="1" applyFont="1" applyFill="1" applyBorder="1" applyAlignment="1" applyProtection="1">
      <alignment horizontal="center" vertical="center" wrapText="1"/>
    </xf>
    <xf numFmtId="10" fontId="17" fillId="25" borderId="0" xfId="0" applyNumberFormat="1" applyFont="1" applyFill="1" applyBorder="1" applyAlignment="1" applyProtection="1">
      <alignment horizontal="center" vertical="center" wrapText="1"/>
    </xf>
    <xf numFmtId="0" fontId="11" fillId="24" borderId="0" xfId="0" applyFont="1" applyFill="1" applyBorder="1" applyAlignment="1" applyProtection="1"/>
    <xf numFmtId="0" fontId="3" fillId="25" borderId="0" xfId="0" applyFont="1" applyFill="1" applyBorder="1" applyAlignment="1" applyProtection="1">
      <alignment horizontal="left" vertical="center" wrapText="1"/>
    </xf>
    <xf numFmtId="0" fontId="7" fillId="25" borderId="0" xfId="0" applyFont="1" applyFill="1" applyBorder="1" applyAlignment="1" applyProtection="1">
      <alignment vertical="center" wrapText="1"/>
    </xf>
    <xf numFmtId="0" fontId="0" fillId="24" borderId="0" xfId="0" applyFill="1" applyBorder="1" applyAlignment="1" applyProtection="1">
      <alignment vertical="center"/>
    </xf>
    <xf numFmtId="0" fontId="8" fillId="25" borderId="0" xfId="0" applyFont="1" applyFill="1" applyBorder="1" applyAlignment="1" applyProtection="1">
      <alignment horizontal="center" vertical="center" wrapText="1"/>
    </xf>
    <xf numFmtId="0" fontId="17" fillId="25" borderId="0" xfId="0" applyFont="1" applyFill="1" applyBorder="1" applyAlignment="1" applyProtection="1">
      <alignment horizontal="center" vertical="center" wrapText="1"/>
    </xf>
    <xf numFmtId="0" fontId="11" fillId="24" borderId="0" xfId="0" applyFont="1" applyFill="1" applyBorder="1" applyAlignment="1" applyProtection="1">
      <alignment horizontal="right" vertical="top"/>
    </xf>
    <xf numFmtId="0" fontId="3" fillId="24" borderId="0" xfId="0" applyFont="1" applyFill="1" applyBorder="1" applyAlignment="1" applyProtection="1">
      <alignment horizontal="left" wrapText="1"/>
    </xf>
    <xf numFmtId="0" fontId="2" fillId="24" borderId="0" xfId="0" applyFont="1" applyFill="1" applyBorder="1" applyAlignment="1" applyProtection="1">
      <alignment horizontal="center" wrapText="1"/>
    </xf>
    <xf numFmtId="0" fontId="2" fillId="24" borderId="0" xfId="0" applyFont="1" applyFill="1" applyAlignment="1" applyProtection="1">
      <alignment horizontal="center" wrapText="1"/>
    </xf>
    <xf numFmtId="0" fontId="26" fillId="24" borderId="0" xfId="0" applyFont="1" applyFill="1" applyBorder="1" applyAlignment="1" applyProtection="1">
      <alignment vertical="center"/>
    </xf>
    <xf numFmtId="0" fontId="3" fillId="25" borderId="0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vertical="center"/>
    </xf>
    <xf numFmtId="0" fontId="2" fillId="25" borderId="0" xfId="0" applyFont="1" applyFill="1" applyBorder="1" applyAlignment="1" applyProtection="1">
      <alignment horizontal="center" vertical="center" wrapText="1"/>
    </xf>
    <xf numFmtId="171" fontId="1" fillId="25" borderId="0" xfId="52" applyFill="1" applyBorder="1" applyAlignment="1" applyProtection="1">
      <alignment vertical="center"/>
    </xf>
    <xf numFmtId="0" fontId="0" fillId="25" borderId="0" xfId="0" applyFill="1" applyBorder="1" applyAlignment="1" applyProtection="1">
      <alignment vertical="center"/>
    </xf>
    <xf numFmtId="10" fontId="1" fillId="25" borderId="0" xfId="50" applyNumberFormat="1" applyFill="1" applyBorder="1" applyAlignment="1" applyProtection="1">
      <alignment vertical="center"/>
    </xf>
    <xf numFmtId="0" fontId="22" fillId="24" borderId="0" xfId="0" applyFont="1" applyFill="1" applyBorder="1" applyAlignment="1" applyProtection="1">
      <alignment vertical="center"/>
    </xf>
    <xf numFmtId="171" fontId="22" fillId="25" borderId="0" xfId="52" applyFont="1" applyFill="1" applyBorder="1" applyAlignment="1" applyProtection="1">
      <alignment vertical="center"/>
    </xf>
    <xf numFmtId="171" fontId="19" fillId="25" borderId="0" xfId="52" applyFont="1" applyFill="1" applyBorder="1" applyAlignment="1" applyProtection="1">
      <alignment vertical="center"/>
    </xf>
    <xf numFmtId="0" fontId="22" fillId="25" borderId="0" xfId="0" applyFont="1" applyFill="1" applyBorder="1" applyAlignment="1" applyProtection="1">
      <alignment horizontal="center" vertical="center"/>
    </xf>
    <xf numFmtId="10" fontId="22" fillId="25" borderId="0" xfId="50" applyNumberFormat="1" applyFont="1" applyFill="1" applyBorder="1" applyAlignment="1" applyProtection="1">
      <alignment vertical="center"/>
    </xf>
    <xf numFmtId="0" fontId="0" fillId="25" borderId="0" xfId="0" applyFill="1" applyBorder="1" applyAlignment="1" applyProtection="1">
      <alignment horizontal="left" vertical="center" wrapText="1"/>
    </xf>
    <xf numFmtId="171" fontId="20" fillId="25" borderId="0" xfId="52" applyFont="1" applyFill="1" applyBorder="1" applyAlignment="1" applyProtection="1">
      <alignment vertical="center"/>
    </xf>
    <xf numFmtId="0" fontId="0" fillId="25" borderId="0" xfId="0" applyFill="1" applyBorder="1" applyAlignment="1" applyProtection="1">
      <alignment horizontal="center" vertical="center"/>
    </xf>
    <xf numFmtId="0" fontId="0" fillId="25" borderId="0" xfId="0" applyFill="1" applyBorder="1" applyAlignment="1" applyProtection="1"/>
    <xf numFmtId="10" fontId="1" fillId="25" borderId="21" xfId="50" applyNumberFormat="1" applyFill="1" applyBorder="1" applyAlignment="1" applyProtection="1">
      <alignment vertical="center"/>
    </xf>
    <xf numFmtId="171" fontId="3" fillId="25" borderId="0" xfId="52" applyFont="1" applyFill="1" applyBorder="1" applyAlignment="1" applyProtection="1">
      <alignment vertical="center" wrapText="1"/>
    </xf>
    <xf numFmtId="49" fontId="3" fillId="25" borderId="0" xfId="52" applyNumberFormat="1" applyFont="1" applyFill="1" applyBorder="1" applyAlignment="1" applyProtection="1">
      <alignment horizontal="center" vertical="center"/>
    </xf>
    <xf numFmtId="0" fontId="16" fillId="25" borderId="0" xfId="0" applyFont="1" applyFill="1" applyBorder="1" applyAlignment="1" applyProtection="1">
      <alignment horizontal="center" vertical="center" wrapText="1"/>
    </xf>
    <xf numFmtId="0" fontId="0" fillId="25" borderId="0" xfId="0" applyFill="1" applyBorder="1" applyAlignment="1" applyProtection="1">
      <alignment horizontal="center" vertical="center" wrapText="1"/>
    </xf>
    <xf numFmtId="171" fontId="3" fillId="24" borderId="0" xfId="52" applyFont="1" applyFill="1" applyBorder="1" applyAlignment="1" applyProtection="1">
      <alignment vertical="center" wrapText="1"/>
    </xf>
    <xf numFmtId="0" fontId="0" fillId="25" borderId="0" xfId="0" applyFill="1" applyBorder="1" applyAlignment="1" applyProtection="1">
      <alignment horizontal="left" vertical="center"/>
    </xf>
    <xf numFmtId="171" fontId="0" fillId="24" borderId="0" xfId="0" applyNumberFormat="1" applyFill="1" applyBorder="1" applyAlignment="1" applyProtection="1">
      <alignment vertical="center"/>
    </xf>
    <xf numFmtId="0" fontId="20" fillId="24" borderId="0" xfId="0" applyFont="1" applyFill="1" applyBorder="1" applyAlignment="1" applyProtection="1">
      <alignment vertical="center"/>
    </xf>
    <xf numFmtId="0" fontId="39" fillId="24" borderId="0" xfId="0" applyFont="1" applyFill="1" applyBorder="1" applyAlignment="1" applyProtection="1">
      <alignment vertical="center"/>
    </xf>
    <xf numFmtId="0" fontId="1" fillId="24" borderId="0" xfId="0" applyFont="1" applyFill="1" applyBorder="1" applyAlignment="1" applyProtection="1">
      <alignment vertical="center"/>
    </xf>
    <xf numFmtId="0" fontId="0" fillId="24" borderId="0" xfId="0" applyFill="1" applyAlignment="1" applyProtection="1">
      <alignment horizontal="center" vertical="center"/>
    </xf>
    <xf numFmtId="0" fontId="27" fillId="24" borderId="0" xfId="0" applyFont="1" applyFill="1" applyAlignment="1" applyProtection="1">
      <alignment vertical="center"/>
    </xf>
    <xf numFmtId="10" fontId="19" fillId="24" borderId="0" xfId="0" applyNumberFormat="1" applyFont="1" applyFill="1" applyAlignment="1" applyProtection="1">
      <alignment vertical="center"/>
    </xf>
    <xf numFmtId="0" fontId="11" fillId="25" borderId="0" xfId="0" applyFont="1" applyFill="1" applyBorder="1" applyAlignment="1" applyProtection="1">
      <alignment vertical="center" wrapText="1"/>
    </xf>
    <xf numFmtId="0" fontId="10" fillId="25" borderId="0" xfId="0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>
      <alignment horizontal="center" vertical="center"/>
    </xf>
    <xf numFmtId="0" fontId="9" fillId="25" borderId="0" xfId="0" applyFont="1" applyFill="1" applyBorder="1" applyAlignment="1" applyProtection="1">
      <alignment horizontal="center" vertical="center"/>
    </xf>
    <xf numFmtId="0" fontId="7" fillId="25" borderId="0" xfId="0" applyFont="1" applyFill="1" applyBorder="1" applyAlignment="1" applyProtection="1">
      <alignment vertical="center"/>
    </xf>
    <xf numFmtId="171" fontId="27" fillId="24" borderId="0" xfId="0" applyNumberFormat="1" applyFont="1" applyFill="1" applyAlignment="1" applyProtection="1">
      <alignment vertical="center"/>
    </xf>
    <xf numFmtId="10" fontId="0" fillId="25" borderId="0" xfId="0" applyNumberFormat="1" applyFill="1" applyBorder="1" applyAlignment="1" applyProtection="1">
      <alignment horizontal="center" vertical="center"/>
    </xf>
    <xf numFmtId="171" fontId="27" fillId="24" borderId="0" xfId="52" applyFont="1" applyFill="1" applyAlignment="1" applyProtection="1">
      <alignment vertical="center"/>
    </xf>
    <xf numFmtId="0" fontId="28" fillId="24" borderId="0" xfId="0" applyFont="1" applyFill="1" applyAlignment="1" applyProtection="1">
      <alignment vertical="center"/>
    </xf>
    <xf numFmtId="171" fontId="20" fillId="24" borderId="0" xfId="52" applyFont="1" applyFill="1" applyAlignment="1" applyProtection="1">
      <alignment vertical="center"/>
    </xf>
    <xf numFmtId="0" fontId="28" fillId="24" borderId="22" xfId="0" applyFont="1" applyFill="1" applyBorder="1" applyAlignment="1" applyProtection="1">
      <alignment vertical="center"/>
    </xf>
    <xf numFmtId="0" fontId="7" fillId="24" borderId="23" xfId="0" applyFont="1" applyFill="1" applyBorder="1" applyAlignment="1" applyProtection="1">
      <alignment horizontal="center" vertical="center"/>
    </xf>
    <xf numFmtId="0" fontId="7" fillId="24" borderId="23" xfId="0" applyFont="1" applyFill="1" applyBorder="1" applyAlignment="1" applyProtection="1">
      <alignment vertical="center"/>
    </xf>
    <xf numFmtId="0" fontId="28" fillId="24" borderId="24" xfId="0" applyFont="1" applyFill="1" applyBorder="1" applyAlignment="1" applyProtection="1">
      <alignment vertical="center"/>
    </xf>
    <xf numFmtId="0" fontId="7" fillId="24" borderId="24" xfId="0" applyFont="1" applyFill="1" applyBorder="1" applyAlignment="1" applyProtection="1">
      <alignment horizontal="center" vertical="center"/>
    </xf>
    <xf numFmtId="0" fontId="7" fillId="24" borderId="24" xfId="0" applyFont="1" applyFill="1" applyBorder="1" applyAlignment="1" applyProtection="1">
      <alignment vertical="center"/>
    </xf>
    <xf numFmtId="171" fontId="7" fillId="24" borderId="24" xfId="52" applyFont="1" applyFill="1" applyBorder="1" applyAlignment="1" applyProtection="1">
      <alignment vertical="center"/>
    </xf>
    <xf numFmtId="0" fontId="28" fillId="24" borderId="25" xfId="0" applyFont="1" applyFill="1" applyBorder="1" applyAlignment="1" applyProtection="1">
      <alignment vertical="center"/>
    </xf>
    <xf numFmtId="171" fontId="7" fillId="24" borderId="0" xfId="52" applyFont="1" applyFill="1" applyBorder="1" applyAlignment="1" applyProtection="1">
      <alignment vertical="center"/>
    </xf>
    <xf numFmtId="0" fontId="7" fillId="24" borderId="26" xfId="0" applyFont="1" applyFill="1" applyBorder="1" applyAlignment="1" applyProtection="1">
      <alignment vertical="center"/>
    </xf>
    <xf numFmtId="0" fontId="10" fillId="24" borderId="0" xfId="0" applyFont="1" applyFill="1" applyBorder="1" applyAlignment="1" applyProtection="1">
      <alignment horizontal="right" vertical="center"/>
    </xf>
    <xf numFmtId="0" fontId="24" fillId="24" borderId="0" xfId="0" applyFont="1" applyFill="1" applyBorder="1" applyAlignment="1" applyProtection="1">
      <alignment horizontal="right" vertical="center"/>
    </xf>
    <xf numFmtId="0" fontId="28" fillId="24" borderId="27" xfId="0" applyFont="1" applyFill="1" applyBorder="1" applyAlignment="1" applyProtection="1">
      <alignment vertical="center"/>
    </xf>
    <xf numFmtId="0" fontId="7" fillId="24" borderId="28" xfId="0" applyFont="1" applyFill="1" applyBorder="1" applyAlignment="1" applyProtection="1">
      <alignment horizontal="center" vertical="center"/>
    </xf>
    <xf numFmtId="0" fontId="10" fillId="24" borderId="28" xfId="0" applyFont="1" applyFill="1" applyBorder="1" applyAlignment="1" applyProtection="1">
      <alignment horizontal="left" vertical="center"/>
    </xf>
    <xf numFmtId="0" fontId="7" fillId="24" borderId="28" xfId="0" applyFont="1" applyFill="1" applyBorder="1" applyAlignment="1" applyProtection="1">
      <alignment vertical="center"/>
    </xf>
    <xf numFmtId="171" fontId="7" fillId="24" borderId="28" xfId="52" applyFont="1" applyFill="1" applyBorder="1" applyAlignment="1" applyProtection="1">
      <alignment vertical="center"/>
    </xf>
    <xf numFmtId="0" fontId="7" fillId="24" borderId="29" xfId="0" applyFont="1" applyFill="1" applyBorder="1" applyAlignment="1" applyProtection="1">
      <alignment vertical="center"/>
    </xf>
    <xf numFmtId="0" fontId="42" fillId="24" borderId="0" xfId="0" applyFont="1" applyFill="1" applyBorder="1" applyAlignment="1" applyProtection="1">
      <alignment horizontal="left" vertical="center"/>
    </xf>
    <xf numFmtId="0" fontId="10" fillId="24" borderId="0" xfId="0" applyFont="1" applyFill="1" applyBorder="1" applyAlignment="1" applyProtection="1">
      <alignment vertical="center"/>
    </xf>
    <xf numFmtId="0" fontId="10" fillId="24" borderId="0" xfId="0" applyFont="1" applyFill="1" applyBorder="1" applyAlignment="1" applyProtection="1">
      <alignment horizontal="center" vertical="center" wrapText="1"/>
    </xf>
    <xf numFmtId="0" fontId="7" fillId="24" borderId="15" xfId="0" applyFont="1" applyFill="1" applyBorder="1" applyAlignment="1" applyProtection="1">
      <alignment horizontal="center" vertical="center" wrapText="1"/>
    </xf>
    <xf numFmtId="1" fontId="28" fillId="24" borderId="0" xfId="0" applyNumberFormat="1" applyFont="1" applyFill="1" applyBorder="1" applyAlignment="1" applyProtection="1">
      <alignment horizontal="center" vertical="center" wrapText="1"/>
    </xf>
    <xf numFmtId="1" fontId="7" fillId="24" borderId="0" xfId="0" applyNumberFormat="1" applyFont="1" applyFill="1" applyBorder="1" applyAlignment="1" applyProtection="1">
      <alignment horizontal="center" vertical="center" wrapText="1"/>
    </xf>
    <xf numFmtId="0" fontId="7" fillId="24" borderId="0" xfId="0" applyFont="1" applyFill="1" applyBorder="1" applyAlignment="1" applyProtection="1">
      <alignment horizontal="left" vertical="center" wrapText="1"/>
    </xf>
    <xf numFmtId="171" fontId="7" fillId="24" borderId="0" xfId="52" applyFont="1" applyFill="1" applyBorder="1" applyAlignment="1" applyProtection="1">
      <alignment horizontal="center" vertical="center" wrapText="1"/>
    </xf>
    <xf numFmtId="0" fontId="7" fillId="24" borderId="0" xfId="0" applyFont="1" applyFill="1" applyBorder="1" applyAlignment="1" applyProtection="1">
      <alignment horizontal="center" vertical="center" wrapText="1"/>
    </xf>
    <xf numFmtId="171" fontId="7" fillId="24" borderId="24" xfId="52" applyFont="1" applyFill="1" applyBorder="1" applyAlignment="1" applyProtection="1">
      <alignment horizontal="center" vertical="center" wrapText="1"/>
    </xf>
    <xf numFmtId="178" fontId="7" fillId="24" borderId="24" xfId="52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0" fillId="24" borderId="22" xfId="0" applyFont="1" applyFill="1" applyBorder="1" applyAlignment="1" applyProtection="1">
      <alignment vertical="center"/>
    </xf>
    <xf numFmtId="0" fontId="20" fillId="24" borderId="23" xfId="0" applyFont="1" applyFill="1" applyBorder="1" applyAlignment="1" applyProtection="1">
      <alignment vertical="center"/>
    </xf>
    <xf numFmtId="0" fontId="3" fillId="24" borderId="23" xfId="0" applyFont="1" applyFill="1" applyBorder="1" applyAlignment="1" applyProtection="1">
      <alignment horizontal="right" vertical="center" wrapText="1"/>
    </xf>
    <xf numFmtId="0" fontId="28" fillId="24" borderId="0" xfId="0" applyFont="1" applyFill="1" applyBorder="1" applyAlignment="1" applyProtection="1">
      <alignment vertical="center"/>
    </xf>
    <xf numFmtId="0" fontId="7" fillId="24" borderId="0" xfId="0" applyFont="1" applyFill="1" applyBorder="1" applyAlignment="1" applyProtection="1">
      <alignment horizontal="center" vertical="center"/>
    </xf>
    <xf numFmtId="171" fontId="7" fillId="24" borderId="0" xfId="0" applyNumberFormat="1" applyFont="1" applyFill="1" applyAlignment="1" applyProtection="1">
      <alignment vertical="center"/>
    </xf>
    <xf numFmtId="0" fontId="10" fillId="24" borderId="30" xfId="0" applyFont="1" applyFill="1" applyBorder="1" applyAlignment="1" applyProtection="1">
      <alignment horizontal="left" vertical="center"/>
    </xf>
    <xf numFmtId="171" fontId="7" fillId="24" borderId="30" xfId="52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horizontal="center" vertical="center" wrapText="1"/>
    </xf>
    <xf numFmtId="180" fontId="7" fillId="24" borderId="0" xfId="0" applyNumberFormat="1" applyFont="1" applyFill="1" applyBorder="1" applyAlignment="1" applyProtection="1">
      <alignment horizontal="center" vertical="center" wrapText="1"/>
    </xf>
    <xf numFmtId="0" fontId="3" fillId="24" borderId="22" xfId="0" applyFont="1" applyFill="1" applyBorder="1" applyAlignment="1" applyProtection="1">
      <alignment horizontal="right" vertical="center" wrapText="1"/>
    </xf>
    <xf numFmtId="0" fontId="28" fillId="24" borderId="12" xfId="0" applyFont="1" applyFill="1" applyBorder="1" applyAlignment="1" applyProtection="1">
      <alignment horizontal="center" vertical="center"/>
    </xf>
    <xf numFmtId="0" fontId="7" fillId="24" borderId="15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right" vertical="center" wrapText="1"/>
    </xf>
    <xf numFmtId="171" fontId="20" fillId="24" borderId="0" xfId="52" applyFont="1" applyFill="1" applyBorder="1" applyAlignment="1" applyProtection="1">
      <alignment horizontal="center" vertical="center" wrapText="1"/>
    </xf>
    <xf numFmtId="0" fontId="7" fillId="24" borderId="12" xfId="0" applyFont="1" applyFill="1" applyBorder="1" applyAlignment="1" applyProtection="1">
      <alignment horizontal="center" vertical="center"/>
    </xf>
    <xf numFmtId="180" fontId="7" fillId="24" borderId="15" xfId="0" applyNumberFormat="1" applyFont="1" applyFill="1" applyBorder="1" applyAlignment="1" applyProtection="1">
      <alignment horizontal="center" vertical="center" wrapText="1"/>
    </xf>
    <xf numFmtId="180" fontId="7" fillId="24" borderId="12" xfId="0" applyNumberFormat="1" applyFont="1" applyFill="1" applyBorder="1" applyAlignment="1" applyProtection="1">
      <alignment horizontal="center" vertical="center" wrapText="1"/>
    </xf>
    <xf numFmtId="10" fontId="10" fillId="24" borderId="31" xfId="0" applyNumberFormat="1" applyFont="1" applyFill="1" applyBorder="1" applyAlignment="1" applyProtection="1">
      <alignment horizontal="center" vertical="center"/>
    </xf>
    <xf numFmtId="171" fontId="10" fillId="24" borderId="32" xfId="52" applyFont="1" applyFill="1" applyBorder="1" applyAlignment="1" applyProtection="1">
      <alignment vertical="center"/>
    </xf>
    <xf numFmtId="0" fontId="20" fillId="24" borderId="15" xfId="0" applyFont="1" applyFill="1" applyBorder="1" applyAlignment="1" applyProtection="1">
      <alignment horizontal="center" vertical="center"/>
    </xf>
    <xf numFmtId="0" fontId="7" fillId="24" borderId="33" xfId="0" applyFont="1" applyFill="1" applyBorder="1" applyAlignment="1" applyProtection="1">
      <alignment horizontal="left" vertical="center"/>
    </xf>
    <xf numFmtId="10" fontId="7" fillId="24" borderId="33" xfId="0" applyNumberFormat="1" applyFont="1" applyFill="1" applyBorder="1" applyAlignment="1" applyProtection="1">
      <alignment horizontal="center" vertical="center"/>
    </xf>
    <xf numFmtId="171" fontId="7" fillId="24" borderId="33" xfId="52" applyFont="1" applyFill="1" applyBorder="1" applyAlignment="1" applyProtection="1">
      <alignment vertical="center"/>
    </xf>
    <xf numFmtId="0" fontId="20" fillId="24" borderId="13" xfId="0" applyFont="1" applyFill="1" applyBorder="1" applyAlignment="1" applyProtection="1">
      <alignment vertical="center"/>
    </xf>
    <xf numFmtId="0" fontId="19" fillId="24" borderId="16" xfId="0" applyFont="1" applyFill="1" applyBorder="1" applyAlignment="1" applyProtection="1">
      <alignment horizontal="right" vertical="center" wrapText="1"/>
    </xf>
    <xf numFmtId="0" fontId="19" fillId="24" borderId="13" xfId="0" applyFont="1" applyFill="1" applyBorder="1" applyAlignment="1" applyProtection="1">
      <alignment horizontal="right" vertical="center" wrapText="1"/>
    </xf>
    <xf numFmtId="10" fontId="19" fillId="24" borderId="23" xfId="0" applyNumberFormat="1" applyFont="1" applyFill="1" applyBorder="1" applyAlignment="1" applyProtection="1">
      <alignment horizontal="center" vertical="center" wrapText="1"/>
    </xf>
    <xf numFmtId="180" fontId="7" fillId="24" borderId="13" xfId="0" applyNumberFormat="1" applyFont="1" applyFill="1" applyBorder="1" applyAlignment="1" applyProtection="1">
      <alignment horizontal="center" vertical="center" wrapText="1"/>
    </xf>
    <xf numFmtId="171" fontId="10" fillId="24" borderId="14" xfId="0" applyNumberFormat="1" applyFont="1" applyFill="1" applyBorder="1" applyAlignment="1" applyProtection="1">
      <alignment vertical="center"/>
    </xf>
    <xf numFmtId="10" fontId="22" fillId="24" borderId="23" xfId="0" applyNumberFormat="1" applyFont="1" applyFill="1" applyBorder="1" applyAlignment="1" applyProtection="1">
      <alignment horizontal="center" vertical="center" wrapText="1"/>
    </xf>
    <xf numFmtId="0" fontId="20" fillId="24" borderId="34" xfId="0" applyFont="1" applyFill="1" applyBorder="1" applyAlignment="1" applyProtection="1">
      <alignment vertical="center"/>
    </xf>
    <xf numFmtId="171" fontId="20" fillId="24" borderId="0" xfId="0" applyNumberFormat="1" applyFont="1" applyFill="1" applyAlignment="1" applyProtection="1">
      <alignment vertical="center"/>
    </xf>
    <xf numFmtId="0" fontId="43" fillId="24" borderId="0" xfId="0" applyFont="1" applyFill="1" applyBorder="1" applyAlignment="1" applyProtection="1">
      <alignment vertical="center"/>
    </xf>
    <xf numFmtId="0" fontId="44" fillId="24" borderId="0" xfId="0" applyFont="1" applyFill="1" applyBorder="1" applyAlignment="1" applyProtection="1">
      <alignment horizontal="center" vertical="center"/>
    </xf>
    <xf numFmtId="2" fontId="38" fillId="24" borderId="0" xfId="0" applyNumberFormat="1" applyFont="1" applyFill="1" applyBorder="1" applyAlignment="1" applyProtection="1">
      <alignment horizontal="center" vertical="center"/>
    </xf>
    <xf numFmtId="0" fontId="28" fillId="24" borderId="0" xfId="0" applyFont="1" applyFill="1" applyBorder="1" applyAlignment="1" applyProtection="1">
      <alignment horizontal="center" vertical="center"/>
    </xf>
    <xf numFmtId="171" fontId="20" fillId="24" borderId="13" xfId="52" applyFont="1" applyFill="1" applyBorder="1" applyAlignment="1" applyProtection="1">
      <alignment horizontal="left" vertical="center" wrapText="1"/>
    </xf>
    <xf numFmtId="0" fontId="3" fillId="24" borderId="23" xfId="0" applyFont="1" applyFill="1" applyBorder="1" applyAlignment="1" applyProtection="1">
      <alignment horizontal="right" vertical="center"/>
    </xf>
    <xf numFmtId="190" fontId="20" fillId="24" borderId="0" xfId="50" applyNumberFormat="1" applyFont="1" applyFill="1" applyAlignment="1" applyProtection="1">
      <alignment vertical="center"/>
    </xf>
    <xf numFmtId="2" fontId="50" fillId="24" borderId="0" xfId="0" applyNumberFormat="1" applyFont="1" applyFill="1" applyAlignment="1" applyProtection="1">
      <alignment vertical="center"/>
    </xf>
    <xf numFmtId="0" fontId="45" fillId="24" borderId="0" xfId="0" applyFont="1" applyFill="1" applyBorder="1" applyAlignment="1" applyProtection="1">
      <alignment horizontal="center" vertical="center"/>
    </xf>
    <xf numFmtId="0" fontId="73" fillId="24" borderId="25" xfId="0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horizontal="left" vertical="center"/>
    </xf>
    <xf numFmtId="0" fontId="74" fillId="24" borderId="0" xfId="0" applyFont="1" applyFill="1" applyBorder="1" applyAlignment="1" applyProtection="1">
      <alignment horizontal="center" vertical="center"/>
    </xf>
    <xf numFmtId="0" fontId="51" fillId="24" borderId="35" xfId="0" applyFont="1" applyFill="1" applyBorder="1" applyAlignment="1" applyProtection="1">
      <alignment horizontal="center" vertical="center" wrapText="1"/>
    </xf>
    <xf numFmtId="0" fontId="51" fillId="24" borderId="36" xfId="0" applyFont="1" applyFill="1" applyBorder="1" applyAlignment="1" applyProtection="1">
      <alignment horizontal="center" vertical="center" wrapText="1"/>
    </xf>
    <xf numFmtId="0" fontId="74" fillId="24" borderId="36" xfId="0" applyFont="1" applyFill="1" applyBorder="1" applyAlignment="1" applyProtection="1">
      <alignment horizontal="center" vertical="center" wrapText="1"/>
    </xf>
    <xf numFmtId="171" fontId="51" fillId="24" borderId="37" xfId="52" applyFont="1" applyFill="1" applyBorder="1" applyAlignment="1" applyProtection="1">
      <alignment horizontal="center" vertical="center" wrapText="1"/>
    </xf>
    <xf numFmtId="1" fontId="58" fillId="24" borderId="38" xfId="0" applyNumberFormat="1" applyFont="1" applyFill="1" applyBorder="1" applyAlignment="1" applyProtection="1">
      <alignment horizontal="center" vertical="center" wrapText="1"/>
    </xf>
    <xf numFmtId="178" fontId="58" fillId="24" borderId="24" xfId="52" applyNumberFormat="1" applyFont="1" applyFill="1" applyBorder="1" applyAlignment="1" applyProtection="1">
      <alignment vertical="center" wrapText="1"/>
    </xf>
    <xf numFmtId="171" fontId="58" fillId="24" borderId="24" xfId="52" applyFont="1" applyFill="1" applyBorder="1" applyAlignment="1" applyProtection="1">
      <alignment horizontal="center" vertical="center" wrapText="1"/>
    </xf>
    <xf numFmtId="0" fontId="47" fillId="24" borderId="22" xfId="0" applyFont="1" applyFill="1" applyBorder="1" applyAlignment="1" applyProtection="1">
      <alignment horizontal="right" vertical="center" wrapText="1"/>
    </xf>
    <xf numFmtId="0" fontId="47" fillId="24" borderId="23" xfId="0" applyFont="1" applyFill="1" applyBorder="1" applyAlignment="1" applyProtection="1">
      <alignment horizontal="right"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171" fontId="47" fillId="24" borderId="14" xfId="52" applyNumberFormat="1" applyFont="1" applyFill="1" applyBorder="1" applyAlignment="1" applyProtection="1">
      <alignment horizontal="center" vertical="center" wrapText="1"/>
    </xf>
    <xf numFmtId="171" fontId="58" fillId="24" borderId="39" xfId="52" applyFont="1" applyFill="1" applyBorder="1" applyAlignment="1" applyProtection="1">
      <alignment horizontal="center" vertical="center" wrapText="1"/>
    </xf>
    <xf numFmtId="0" fontId="72" fillId="24" borderId="0" xfId="0" applyFont="1" applyFill="1" applyAlignment="1" applyProtection="1">
      <alignment vertical="center"/>
    </xf>
    <xf numFmtId="171" fontId="47" fillId="24" borderId="34" xfId="52" applyFont="1" applyFill="1" applyBorder="1" applyAlignment="1" applyProtection="1">
      <alignment horizontal="center" vertical="center" wrapText="1"/>
    </xf>
    <xf numFmtId="0" fontId="58" fillId="24" borderId="23" xfId="0" applyFont="1" applyFill="1" applyBorder="1" applyAlignment="1" applyProtection="1">
      <alignment horizontal="center" vertical="center" wrapText="1"/>
    </xf>
    <xf numFmtId="0" fontId="58" fillId="24" borderId="34" xfId="0" applyFont="1" applyFill="1" applyBorder="1" applyAlignment="1" applyProtection="1">
      <alignment horizontal="center" vertical="center" wrapText="1"/>
    </xf>
    <xf numFmtId="0" fontId="58" fillId="24" borderId="11" xfId="0" applyFont="1" applyFill="1" applyBorder="1" applyAlignment="1" applyProtection="1">
      <alignment horizontal="center" vertical="center" wrapText="1"/>
    </xf>
    <xf numFmtId="4" fontId="58" fillId="24" borderId="11" xfId="0" applyNumberFormat="1" applyFont="1" applyFill="1" applyBorder="1" applyAlignment="1" applyProtection="1">
      <alignment horizontal="center" vertical="center" wrapText="1"/>
    </xf>
    <xf numFmtId="0" fontId="47" fillId="24" borderId="23" xfId="0" applyFont="1" applyFill="1" applyBorder="1" applyAlignment="1" applyProtection="1">
      <alignment horizontal="right" vertical="center"/>
    </xf>
    <xf numFmtId="171" fontId="47" fillId="24" borderId="34" xfId="52" applyFont="1" applyFill="1" applyBorder="1" applyAlignment="1" applyProtection="1">
      <alignment horizontal="left" vertical="center" wrapText="1"/>
      <protection locked="0"/>
    </xf>
    <xf numFmtId="0" fontId="47" fillId="24" borderId="24" xfId="0" applyFont="1" applyFill="1" applyBorder="1" applyAlignment="1" applyProtection="1">
      <alignment horizontal="left" vertical="center"/>
    </xf>
    <xf numFmtId="0" fontId="79" fillId="24" borderId="40" xfId="0" applyFont="1" applyFill="1" applyBorder="1" applyAlignment="1" applyProtection="1">
      <alignment vertical="center"/>
    </xf>
    <xf numFmtId="0" fontId="79" fillId="24" borderId="40" xfId="0" applyFont="1" applyFill="1" applyBorder="1" applyAlignment="1" applyProtection="1">
      <alignment horizontal="center" vertical="center"/>
    </xf>
    <xf numFmtId="22" fontId="79" fillId="24" borderId="0" xfId="0" applyNumberFormat="1" applyFont="1" applyFill="1" applyBorder="1" applyAlignment="1" applyProtection="1">
      <alignment horizontal="center" vertical="center"/>
    </xf>
    <xf numFmtId="0" fontId="45" fillId="24" borderId="26" xfId="0" applyFont="1" applyFill="1" applyBorder="1" applyAlignment="1" applyProtection="1">
      <alignment horizontal="left" vertical="center" wrapText="1"/>
    </xf>
    <xf numFmtId="10" fontId="78" fillId="24" borderId="25" xfId="0" applyNumberFormat="1" applyFont="1" applyFill="1" applyBorder="1" applyAlignment="1" applyProtection="1">
      <alignment vertical="center"/>
    </xf>
    <xf numFmtId="0" fontId="72" fillId="24" borderId="26" xfId="0" applyFont="1" applyFill="1" applyBorder="1" applyAlignment="1" applyProtection="1">
      <alignment vertical="center"/>
    </xf>
    <xf numFmtId="0" fontId="81" fillId="25" borderId="0" xfId="0" applyFont="1" applyFill="1" applyBorder="1" applyAlignment="1" applyProtection="1">
      <alignment horizontal="left" vertical="center" wrapText="1"/>
    </xf>
    <xf numFmtId="0" fontId="83" fillId="25" borderId="0" xfId="0" applyFont="1" applyFill="1" applyBorder="1" applyAlignment="1" applyProtection="1">
      <alignment horizontal="left" vertical="center" wrapText="1"/>
    </xf>
    <xf numFmtId="10" fontId="59" fillId="25" borderId="17" xfId="0" applyNumberFormat="1" applyFont="1" applyFill="1" applyBorder="1" applyAlignment="1" applyProtection="1">
      <alignment horizontal="center" vertical="center" wrapText="1"/>
    </xf>
    <xf numFmtId="10" fontId="86" fillId="25" borderId="0" xfId="0" applyNumberFormat="1" applyFont="1" applyFill="1" applyBorder="1" applyAlignment="1" applyProtection="1">
      <alignment horizontal="center" vertical="center" wrapText="1"/>
    </xf>
    <xf numFmtId="0" fontId="47" fillId="25" borderId="0" xfId="0" applyFont="1" applyFill="1" applyBorder="1" applyAlignment="1" applyProtection="1">
      <alignment horizontal="center" vertical="center"/>
    </xf>
    <xf numFmtId="0" fontId="75" fillId="25" borderId="0" xfId="0" applyFont="1" applyFill="1" applyBorder="1" applyAlignment="1" applyProtection="1">
      <alignment vertical="center"/>
    </xf>
    <xf numFmtId="0" fontId="26" fillId="25" borderId="0" xfId="0" applyFont="1" applyFill="1" applyBorder="1" applyAlignment="1" applyProtection="1">
      <alignment horizontal="center" vertical="center" wrapText="1"/>
    </xf>
    <xf numFmtId="10" fontId="56" fillId="24" borderId="0" xfId="0" applyNumberFormat="1" applyFont="1" applyFill="1" applyAlignment="1" applyProtection="1">
      <alignment vertical="center"/>
    </xf>
    <xf numFmtId="0" fontId="85" fillId="25" borderId="0" xfId="0" applyFont="1" applyFill="1" applyBorder="1" applyAlignment="1" applyProtection="1">
      <alignment vertical="center" wrapText="1"/>
    </xf>
    <xf numFmtId="0" fontId="87" fillId="24" borderId="0" xfId="0" applyFont="1" applyFill="1" applyAlignment="1" applyProtection="1">
      <alignment vertical="center"/>
    </xf>
    <xf numFmtId="0" fontId="58" fillId="25" borderId="0" xfId="0" applyFont="1" applyFill="1" applyBorder="1" applyAlignment="1" applyProtection="1">
      <alignment horizontal="center" vertical="center"/>
    </xf>
    <xf numFmtId="10" fontId="47" fillId="25" borderId="17" xfId="0" applyNumberFormat="1" applyFont="1" applyFill="1" applyBorder="1" applyAlignment="1" applyProtection="1">
      <alignment horizontal="center" vertical="center"/>
    </xf>
    <xf numFmtId="10" fontId="47" fillId="25" borderId="18" xfId="0" applyNumberFormat="1" applyFont="1" applyFill="1" applyBorder="1" applyAlignment="1" applyProtection="1">
      <alignment horizontal="center" vertical="center"/>
      <protection locked="0"/>
    </xf>
    <xf numFmtId="10" fontId="47" fillId="25" borderId="17" xfId="0" applyNumberFormat="1" applyFont="1" applyFill="1" applyBorder="1" applyAlignment="1" applyProtection="1">
      <alignment horizontal="center" vertical="center"/>
      <protection locked="0"/>
    </xf>
    <xf numFmtId="0" fontId="72" fillId="24" borderId="0" xfId="0" applyFont="1" applyFill="1" applyBorder="1" applyAlignment="1" applyProtection="1">
      <alignment vertical="center"/>
    </xf>
    <xf numFmtId="0" fontId="47" fillId="25" borderId="0" xfId="0" applyFont="1" applyFill="1" applyBorder="1" applyAlignment="1" applyProtection="1">
      <alignment horizontal="center" vertical="center" wrapText="1"/>
    </xf>
    <xf numFmtId="10" fontId="75" fillId="25" borderId="0" xfId="50" applyNumberFormat="1" applyFont="1" applyFill="1" applyBorder="1" applyAlignment="1" applyProtection="1">
      <alignment vertical="center"/>
    </xf>
    <xf numFmtId="0" fontId="47" fillId="25" borderId="0" xfId="0" applyFont="1" applyFill="1" applyBorder="1" applyAlignment="1" applyProtection="1">
      <alignment horizontal="left" vertical="center"/>
    </xf>
    <xf numFmtId="0" fontId="47" fillId="25" borderId="0" xfId="0" applyFont="1" applyFill="1" applyBorder="1" applyAlignment="1" applyProtection="1">
      <alignment horizontal="left" vertical="center" wrapText="1"/>
    </xf>
    <xf numFmtId="0" fontId="81" fillId="25" borderId="0" xfId="0" applyFont="1" applyFill="1" applyBorder="1" applyAlignment="1" applyProtection="1"/>
    <xf numFmtId="0" fontId="80" fillId="25" borderId="0" xfId="0" applyFont="1" applyFill="1" applyBorder="1" applyAlignment="1" applyProtection="1">
      <alignment horizontal="center"/>
    </xf>
    <xf numFmtId="49" fontId="47" fillId="25" borderId="0" xfId="52" applyNumberFormat="1" applyFont="1" applyFill="1" applyBorder="1" applyAlignment="1" applyProtection="1">
      <alignment horizontal="center" vertical="center"/>
    </xf>
    <xf numFmtId="10" fontId="72" fillId="25" borderId="0" xfId="50" applyNumberFormat="1" applyFont="1" applyFill="1" applyBorder="1" applyAlignment="1" applyProtection="1">
      <alignment vertical="center"/>
    </xf>
    <xf numFmtId="10" fontId="47" fillId="25" borderId="0" xfId="0" applyNumberFormat="1" applyFont="1" applyFill="1" applyBorder="1" applyAlignment="1" applyProtection="1">
      <alignment horizontal="center" vertical="center" wrapText="1"/>
    </xf>
    <xf numFmtId="171" fontId="72" fillId="25" borderId="0" xfId="52" applyFont="1" applyFill="1" applyBorder="1" applyAlignment="1" applyProtection="1">
      <alignment vertical="center" wrapText="1"/>
    </xf>
    <xf numFmtId="0" fontId="72" fillId="25" borderId="0" xfId="0" applyFont="1" applyFill="1" applyBorder="1" applyAlignment="1" applyProtection="1">
      <alignment horizontal="center" vertical="center" wrapText="1"/>
    </xf>
    <xf numFmtId="171" fontId="47" fillId="25" borderId="0" xfId="52" applyFont="1" applyFill="1" applyBorder="1" applyAlignment="1" applyProtection="1">
      <alignment vertical="center" wrapText="1"/>
    </xf>
    <xf numFmtId="0" fontId="58" fillId="25" borderId="0" xfId="0" applyFont="1" applyFill="1" applyBorder="1" applyAlignment="1" applyProtection="1">
      <alignment horizontal="center" vertical="center" wrapText="1"/>
    </xf>
    <xf numFmtId="0" fontId="72" fillId="25" borderId="0" xfId="0" applyFont="1" applyFill="1" applyBorder="1" applyAlignment="1" applyProtection="1">
      <alignment horizontal="left" vertical="center"/>
    </xf>
    <xf numFmtId="171" fontId="72" fillId="25" borderId="0" xfId="52" applyFont="1" applyFill="1" applyBorder="1" applyAlignment="1" applyProtection="1">
      <alignment vertical="center"/>
    </xf>
    <xf numFmtId="1" fontId="72" fillId="25" borderId="0" xfId="0" applyNumberFormat="1" applyFont="1" applyFill="1" applyBorder="1" applyAlignment="1" applyProtection="1">
      <alignment horizontal="center" vertical="center"/>
    </xf>
    <xf numFmtId="0" fontId="72" fillId="25" borderId="0" xfId="0" applyFont="1" applyFill="1" applyBorder="1" applyAlignment="1" applyProtection="1">
      <alignment horizontal="center" vertical="center"/>
    </xf>
    <xf numFmtId="10" fontId="75" fillId="24" borderId="0" xfId="0" applyNumberFormat="1" applyFont="1" applyFill="1" applyBorder="1" applyAlignment="1" applyProtection="1">
      <alignment vertical="center"/>
    </xf>
    <xf numFmtId="0" fontId="75" fillId="24" borderId="0" xfId="0" applyFont="1" applyFill="1" applyBorder="1" applyAlignment="1" applyProtection="1">
      <alignment vertical="center"/>
    </xf>
    <xf numFmtId="0" fontId="76" fillId="24" borderId="0" xfId="0" applyFont="1" applyFill="1" applyBorder="1" applyAlignment="1" applyProtection="1">
      <alignment vertical="center"/>
    </xf>
    <xf numFmtId="2" fontId="72" fillId="25" borderId="0" xfId="0" applyNumberFormat="1" applyFont="1" applyFill="1" applyBorder="1" applyAlignment="1" applyProtection="1">
      <alignment horizontal="center" vertical="center" wrapText="1"/>
    </xf>
    <xf numFmtId="2" fontId="72" fillId="24" borderId="0" xfId="0" applyNumberFormat="1" applyFont="1" applyFill="1" applyBorder="1" applyAlignment="1" applyProtection="1">
      <alignment vertical="center"/>
    </xf>
    <xf numFmtId="10" fontId="59" fillId="25" borderId="0" xfId="0" applyNumberFormat="1" applyFont="1" applyFill="1" applyBorder="1" applyAlignment="1" applyProtection="1">
      <alignment horizontal="center" vertical="center" wrapText="1"/>
    </xf>
    <xf numFmtId="171" fontId="47" fillId="25" borderId="0" xfId="52" applyFont="1" applyFill="1" applyBorder="1" applyAlignment="1" applyProtection="1">
      <alignment vertical="center"/>
    </xf>
    <xf numFmtId="171" fontId="72" fillId="25" borderId="0" xfId="52" applyFont="1" applyFill="1" applyBorder="1" applyAlignment="1" applyProtection="1">
      <alignment horizontal="center" vertical="center"/>
    </xf>
    <xf numFmtId="171" fontId="47" fillId="24" borderId="41" xfId="52" applyNumberFormat="1" applyFont="1" applyFill="1" applyBorder="1" applyAlignment="1" applyProtection="1">
      <alignment horizontal="center" vertical="center" wrapText="1"/>
    </xf>
    <xf numFmtId="171" fontId="26" fillId="24" borderId="34" xfId="52" applyFont="1" applyFill="1" applyBorder="1" applyAlignment="1" applyProtection="1">
      <alignment horizontal="right" vertical="center" wrapText="1"/>
    </xf>
    <xf numFmtId="171" fontId="47" fillId="24" borderId="34" xfId="52" applyNumberFormat="1" applyFont="1" applyFill="1" applyBorder="1" applyAlignment="1" applyProtection="1">
      <alignment horizontal="center" vertical="center" wrapText="1"/>
    </xf>
    <xf numFmtId="0" fontId="47" fillId="25" borderId="42" xfId="0" applyFont="1" applyFill="1" applyBorder="1" applyAlignment="1" applyProtection="1">
      <alignment horizontal="center" vertical="center" wrapText="1"/>
    </xf>
    <xf numFmtId="0" fontId="47" fillId="25" borderId="43" xfId="0" applyFont="1" applyFill="1" applyBorder="1" applyAlignment="1" applyProtection="1">
      <alignment horizontal="center" vertical="center" wrapText="1"/>
    </xf>
    <xf numFmtId="0" fontId="71" fillId="25" borderId="42" xfId="0" applyFont="1" applyFill="1" applyBorder="1" applyAlignment="1" applyProtection="1">
      <alignment horizontal="center" vertical="center" wrapText="1"/>
    </xf>
    <xf numFmtId="0" fontId="24" fillId="25" borderId="42" xfId="0" applyFont="1" applyFill="1" applyBorder="1" applyAlignment="1" applyProtection="1">
      <alignment horizontal="center" vertical="center" wrapText="1"/>
    </xf>
    <xf numFmtId="171" fontId="76" fillId="25" borderId="17" xfId="52" applyFont="1" applyFill="1" applyBorder="1" applyAlignment="1" applyProtection="1">
      <alignment vertical="center"/>
    </xf>
    <xf numFmtId="171" fontId="76" fillId="25" borderId="17" xfId="0" applyNumberFormat="1" applyFont="1" applyFill="1" applyBorder="1" applyAlignment="1" applyProtection="1">
      <alignment horizontal="center" vertical="center"/>
    </xf>
    <xf numFmtId="171" fontId="76" fillId="25" borderId="17" xfId="50" applyNumberFormat="1" applyFont="1" applyFill="1" applyBorder="1" applyAlignment="1" applyProtection="1">
      <alignment vertical="center"/>
    </xf>
    <xf numFmtId="10" fontId="75" fillId="25" borderId="17" xfId="50" applyNumberFormat="1" applyFont="1" applyFill="1" applyBorder="1" applyAlignment="1" applyProtection="1">
      <alignment vertical="center"/>
    </xf>
    <xf numFmtId="171" fontId="47" fillId="25" borderId="17" xfId="52" applyFont="1" applyFill="1" applyBorder="1" applyAlignment="1" applyProtection="1">
      <alignment vertical="center" wrapText="1"/>
    </xf>
    <xf numFmtId="171" fontId="47" fillId="25" borderId="17" xfId="52" applyNumberFormat="1" applyFont="1" applyFill="1" applyBorder="1" applyAlignment="1" applyProtection="1">
      <alignment vertical="center" wrapText="1"/>
    </xf>
    <xf numFmtId="0" fontId="57" fillId="25" borderId="17" xfId="0" applyFont="1" applyFill="1" applyBorder="1" applyAlignment="1" applyProtection="1">
      <alignment horizontal="center" vertical="center" wrapText="1"/>
    </xf>
    <xf numFmtId="171" fontId="72" fillId="25" borderId="17" xfId="52" applyFont="1" applyFill="1" applyBorder="1" applyAlignment="1" applyProtection="1">
      <alignment vertical="center"/>
    </xf>
    <xf numFmtId="0" fontId="47" fillId="25" borderId="44" xfId="0" applyFont="1" applyFill="1" applyBorder="1" applyAlignment="1" applyProtection="1">
      <alignment horizontal="left" vertical="center"/>
    </xf>
    <xf numFmtId="0" fontId="47" fillId="25" borderId="42" xfId="0" applyFont="1" applyFill="1" applyBorder="1" applyAlignment="1" applyProtection="1">
      <alignment horizontal="left" vertical="center"/>
    </xf>
    <xf numFmtId="10" fontId="59" fillId="25" borderId="42" xfId="0" applyNumberFormat="1" applyFont="1" applyFill="1" applyBorder="1" applyAlignment="1" applyProtection="1">
      <alignment horizontal="left" vertical="center"/>
    </xf>
    <xf numFmtId="0" fontId="72" fillId="24" borderId="42" xfId="0" applyFont="1" applyFill="1" applyBorder="1" applyAlignment="1" applyProtection="1">
      <alignment vertical="center"/>
    </xf>
    <xf numFmtId="49" fontId="47" fillId="25" borderId="42" xfId="52" applyNumberFormat="1" applyFont="1" applyFill="1" applyBorder="1" applyAlignment="1" applyProtection="1">
      <alignment horizontal="center" vertical="center"/>
    </xf>
    <xf numFmtId="0" fontId="72" fillId="25" borderId="42" xfId="0" applyFont="1" applyFill="1" applyBorder="1" applyAlignment="1" applyProtection="1">
      <alignment horizontal="center" vertical="center" wrapText="1"/>
    </xf>
    <xf numFmtId="10" fontId="47" fillId="25" borderId="43" xfId="50" applyNumberFormat="1" applyFont="1" applyFill="1" applyBorder="1" applyAlignment="1" applyProtection="1">
      <alignment horizontal="right" vertical="center"/>
    </xf>
    <xf numFmtId="0" fontId="47" fillId="25" borderId="44" xfId="0" applyFont="1" applyFill="1" applyBorder="1" applyAlignment="1" applyProtection="1">
      <alignment vertical="center"/>
    </xf>
    <xf numFmtId="0" fontId="47" fillId="25" borderId="42" xfId="0" applyFont="1" applyFill="1" applyBorder="1" applyAlignment="1" applyProtection="1">
      <alignment vertical="center"/>
    </xf>
    <xf numFmtId="0" fontId="47" fillId="25" borderId="43" xfId="0" applyFont="1" applyFill="1" applyBorder="1" applyAlignment="1" applyProtection="1">
      <alignment vertical="center"/>
    </xf>
    <xf numFmtId="0" fontId="47" fillId="25" borderId="45" xfId="0" applyFont="1" applyFill="1" applyBorder="1" applyAlignment="1" applyProtection="1">
      <alignment horizontal="center" vertical="center" wrapText="1"/>
    </xf>
    <xf numFmtId="0" fontId="58" fillId="25" borderId="46" xfId="0" applyFont="1" applyFill="1" applyBorder="1" applyAlignment="1" applyProtection="1">
      <alignment horizontal="center" vertical="center" wrapText="1"/>
    </xf>
    <xf numFmtId="9" fontId="5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/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Protection="1"/>
    <xf numFmtId="0" fontId="20" fillId="0" borderId="0" xfId="0" applyFont="1" applyFill="1" applyBorder="1" applyAlignment="1" applyProtection="1">
      <alignment vertical="center"/>
    </xf>
    <xf numFmtId="171" fontId="3" fillId="0" borderId="0" xfId="52" applyFont="1" applyFill="1" applyBorder="1" applyAlignment="1" applyProtection="1">
      <alignment horizontal="left" vertical="center"/>
    </xf>
    <xf numFmtId="178" fontId="3" fillId="0" borderId="0" xfId="52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Protection="1"/>
    <xf numFmtId="0" fontId="22" fillId="0" borderId="0" xfId="0" applyFont="1" applyFill="1"/>
    <xf numFmtId="3" fontId="19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171" fontId="22" fillId="0" borderId="0" xfId="0" applyNumberFormat="1" applyFont="1" applyFill="1"/>
    <xf numFmtId="0" fontId="3" fillId="0" borderId="0" xfId="0" applyFont="1" applyFill="1" applyAlignment="1" applyProtection="1">
      <alignment vertical="center"/>
    </xf>
    <xf numFmtId="184" fontId="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20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vertical="top"/>
    </xf>
    <xf numFmtId="4" fontId="20" fillId="0" borderId="0" xfId="0" applyNumberFormat="1" applyFont="1" applyFill="1" applyAlignment="1" applyProtection="1">
      <alignment vertical="center"/>
    </xf>
    <xf numFmtId="49" fontId="20" fillId="0" borderId="0" xfId="0" applyNumberFormat="1" applyFont="1" applyFill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10" fontId="24" fillId="0" borderId="0" xfId="0" applyNumberFormat="1" applyFont="1" applyFill="1" applyBorder="1" applyAlignment="1" applyProtection="1">
      <alignment horizontal="center" vertical="top"/>
    </xf>
    <xf numFmtId="10" fontId="24" fillId="0" borderId="0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/>
    </xf>
    <xf numFmtId="10" fontId="24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center" vertical="top"/>
    </xf>
    <xf numFmtId="10" fontId="10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vertical="center"/>
    </xf>
    <xf numFmtId="10" fontId="7" fillId="0" borderId="0" xfId="0" applyNumberFormat="1" applyFont="1" applyFill="1" applyBorder="1" applyAlignment="1" applyProtection="1">
      <alignment horizontal="right" vertical="center"/>
    </xf>
    <xf numFmtId="10" fontId="71" fillId="0" borderId="44" xfId="0" applyNumberFormat="1" applyFont="1" applyFill="1" applyBorder="1" applyAlignment="1" applyProtection="1">
      <alignment horizontal="center" vertical="center"/>
    </xf>
    <xf numFmtId="10" fontId="71" fillId="0" borderId="42" xfId="0" applyNumberFormat="1" applyFont="1" applyFill="1" applyBorder="1" applyAlignment="1" applyProtection="1">
      <alignment horizontal="center" vertical="center" wrapText="1"/>
    </xf>
    <xf numFmtId="4" fontId="71" fillId="0" borderId="42" xfId="0" applyNumberFormat="1" applyFont="1" applyFill="1" applyBorder="1" applyAlignment="1" applyProtection="1">
      <alignment horizontal="center" vertical="center"/>
    </xf>
    <xf numFmtId="10" fontId="71" fillId="0" borderId="42" xfId="0" applyNumberFormat="1" applyFont="1" applyFill="1" applyBorder="1" applyAlignment="1" applyProtection="1">
      <alignment horizontal="center" vertical="center"/>
    </xf>
    <xf numFmtId="0" fontId="78" fillId="0" borderId="42" xfId="0" applyFont="1" applyFill="1" applyBorder="1" applyProtection="1"/>
    <xf numFmtId="0" fontId="78" fillId="0" borderId="42" xfId="0" applyFont="1" applyFill="1" applyBorder="1" applyAlignment="1" applyProtection="1">
      <alignment vertical="center"/>
    </xf>
    <xf numFmtId="10" fontId="71" fillId="0" borderId="43" xfId="0" applyNumberFormat="1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center" vertical="top"/>
    </xf>
    <xf numFmtId="0" fontId="44" fillId="0" borderId="42" xfId="0" applyFont="1" applyFill="1" applyBorder="1" applyAlignment="1" applyProtection="1">
      <alignment horizontal="center" vertical="center"/>
    </xf>
    <xf numFmtId="0" fontId="72" fillId="0" borderId="42" xfId="0" applyFont="1" applyFill="1" applyBorder="1" applyAlignment="1" applyProtection="1">
      <alignment vertical="center"/>
    </xf>
    <xf numFmtId="0" fontId="72" fillId="0" borderId="43" xfId="0" applyFont="1" applyFill="1" applyBorder="1" applyAlignment="1" applyProtection="1">
      <alignment vertical="center"/>
    </xf>
    <xf numFmtId="0" fontId="57" fillId="0" borderId="47" xfId="0" applyFont="1" applyFill="1" applyBorder="1" applyAlignment="1" applyProtection="1">
      <alignment vertical="top" wrapText="1"/>
      <protection locked="0"/>
    </xf>
    <xf numFmtId="1" fontId="57" fillId="0" borderId="48" xfId="0" applyNumberFormat="1" applyFont="1" applyFill="1" applyBorder="1" applyAlignment="1" applyProtection="1">
      <alignment horizontal="center" vertical="center"/>
      <protection locked="0"/>
    </xf>
    <xf numFmtId="4" fontId="57" fillId="0" borderId="48" xfId="0" applyNumberFormat="1" applyFont="1" applyFill="1" applyBorder="1" applyAlignment="1" applyProtection="1">
      <alignment horizontal="center" vertical="center"/>
      <protection locked="0"/>
    </xf>
    <xf numFmtId="171" fontId="57" fillId="0" borderId="49" xfId="52" applyFont="1" applyFill="1" applyBorder="1" applyAlignment="1" applyProtection="1">
      <alignment vertical="center"/>
      <protection locked="0"/>
    </xf>
    <xf numFmtId="0" fontId="57" fillId="0" borderId="50" xfId="0" applyFont="1" applyFill="1" applyBorder="1" applyAlignment="1" applyProtection="1">
      <alignment vertical="top" wrapText="1"/>
      <protection locked="0"/>
    </xf>
    <xf numFmtId="1" fontId="57" fillId="0" borderId="51" xfId="0" applyNumberFormat="1" applyFont="1" applyFill="1" applyBorder="1" applyAlignment="1" applyProtection="1">
      <alignment horizontal="center" vertical="center"/>
      <protection locked="0"/>
    </xf>
    <xf numFmtId="4" fontId="57" fillId="0" borderId="51" xfId="0" applyNumberFormat="1" applyFont="1" applyFill="1" applyBorder="1" applyAlignment="1" applyProtection="1">
      <alignment horizontal="center" vertical="center"/>
      <protection locked="0"/>
    </xf>
    <xf numFmtId="171" fontId="57" fillId="0" borderId="52" xfId="52" applyFont="1" applyFill="1" applyBorder="1" applyAlignment="1" applyProtection="1">
      <alignment vertical="center"/>
      <protection locked="0"/>
    </xf>
    <xf numFmtId="171" fontId="57" fillId="0" borderId="47" xfId="52" applyFont="1" applyFill="1" applyBorder="1" applyAlignment="1" applyProtection="1">
      <alignment horizontal="center" vertical="center"/>
      <protection locked="0"/>
    </xf>
    <xf numFmtId="1" fontId="57" fillId="0" borderId="49" xfId="0" applyNumberFormat="1" applyFont="1" applyFill="1" applyBorder="1" applyAlignment="1" applyProtection="1">
      <alignment horizontal="center" vertical="center"/>
      <protection locked="0"/>
    </xf>
    <xf numFmtId="171" fontId="57" fillId="0" borderId="50" xfId="52" applyFont="1" applyFill="1" applyBorder="1" applyAlignment="1" applyProtection="1">
      <alignment horizontal="center" vertical="center"/>
      <protection locked="0"/>
    </xf>
    <xf numFmtId="1" fontId="57" fillId="0" borderId="52" xfId="0" applyNumberFormat="1" applyFont="1" applyFill="1" applyBorder="1" applyAlignment="1" applyProtection="1">
      <alignment horizontal="center" vertical="center"/>
      <protection locked="0"/>
    </xf>
    <xf numFmtId="10" fontId="57" fillId="0" borderId="18" xfId="52" applyNumberFormat="1" applyFont="1" applyFill="1" applyBorder="1" applyAlignment="1" applyProtection="1">
      <alignment horizontal="center" vertical="center"/>
      <protection locked="0"/>
    </xf>
    <xf numFmtId="10" fontId="57" fillId="0" borderId="17" xfId="52" applyNumberFormat="1" applyFont="1" applyFill="1" applyBorder="1" applyAlignment="1" applyProtection="1">
      <alignment horizontal="center" vertical="center"/>
      <protection locked="0"/>
    </xf>
    <xf numFmtId="171" fontId="88" fillId="0" borderId="18" xfId="52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vertical="center"/>
    </xf>
    <xf numFmtId="171" fontId="89" fillId="0" borderId="18" xfId="52" applyFont="1" applyFill="1" applyBorder="1" applyAlignment="1" applyProtection="1">
      <alignment horizontal="left" vertical="center"/>
    </xf>
    <xf numFmtId="171" fontId="89" fillId="0" borderId="17" xfId="52" applyFont="1" applyFill="1" applyBorder="1" applyAlignment="1" applyProtection="1">
      <alignment horizontal="left" vertical="center"/>
    </xf>
    <xf numFmtId="171" fontId="89" fillId="0" borderId="17" xfId="52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right" vertical="center"/>
    </xf>
    <xf numFmtId="49" fontId="35" fillId="0" borderId="0" xfId="0" applyNumberFormat="1" applyFont="1" applyFill="1" applyAlignment="1" applyProtection="1">
      <alignment horizontal="center"/>
    </xf>
    <xf numFmtId="49" fontId="35" fillId="0" borderId="0" xfId="0" applyNumberFormat="1" applyFont="1" applyFill="1" applyBorder="1" applyAlignment="1" applyProtection="1">
      <alignment horizontal="center" vertical="center"/>
    </xf>
    <xf numFmtId="10" fontId="57" fillId="0" borderId="0" xfId="0" applyNumberFormat="1" applyFont="1" applyFill="1" applyBorder="1" applyAlignment="1" applyProtection="1">
      <alignment horizontal="center" vertical="center"/>
    </xf>
    <xf numFmtId="0" fontId="76" fillId="0" borderId="0" xfId="0" applyFont="1" applyFill="1" applyProtection="1"/>
    <xf numFmtId="10" fontId="89" fillId="0" borderId="0" xfId="0" applyNumberFormat="1" applyFont="1" applyFill="1" applyBorder="1" applyAlignment="1" applyProtection="1">
      <alignment horizontal="center" vertical="center"/>
    </xf>
    <xf numFmtId="0" fontId="57" fillId="0" borderId="48" xfId="0" applyFont="1" applyFill="1" applyBorder="1" applyAlignment="1" applyProtection="1">
      <alignment vertical="center" wrapText="1"/>
      <protection locked="0"/>
    </xf>
    <xf numFmtId="0" fontId="57" fillId="0" borderId="51" xfId="0" applyFont="1" applyFill="1" applyBorder="1" applyAlignment="1" applyProtection="1">
      <alignment vertical="center" wrapText="1"/>
      <protection locked="0"/>
    </xf>
    <xf numFmtId="171" fontId="57" fillId="0" borderId="48" xfId="52" applyFont="1" applyFill="1" applyBorder="1" applyAlignment="1" applyProtection="1">
      <alignment horizontal="center" vertical="center"/>
      <protection locked="0"/>
    </xf>
    <xf numFmtId="171" fontId="57" fillId="0" borderId="51" xfId="52" applyFont="1" applyFill="1" applyBorder="1" applyAlignment="1" applyProtection="1">
      <alignment horizontal="center" vertical="center"/>
      <protection locked="0"/>
    </xf>
    <xf numFmtId="10" fontId="57" fillId="0" borderId="44" xfId="0" applyNumberFormat="1" applyFont="1" applyFill="1" applyBorder="1" applyAlignment="1" applyProtection="1">
      <alignment horizontal="center" vertical="center"/>
    </xf>
    <xf numFmtId="10" fontId="57" fillId="0" borderId="42" xfId="0" applyNumberFormat="1" applyFont="1" applyFill="1" applyBorder="1" applyAlignment="1" applyProtection="1">
      <alignment horizontal="center" vertical="center" wrapText="1"/>
    </xf>
    <xf numFmtId="10" fontId="57" fillId="0" borderId="42" xfId="0" applyNumberFormat="1" applyFont="1" applyFill="1" applyBorder="1" applyAlignment="1" applyProtection="1">
      <alignment horizontal="center" vertical="center"/>
    </xf>
    <xf numFmtId="10" fontId="58" fillId="0" borderId="42" xfId="0" applyNumberFormat="1" applyFont="1" applyFill="1" applyBorder="1" applyAlignment="1" applyProtection="1">
      <alignment horizontal="center" vertical="center" wrapText="1"/>
    </xf>
    <xf numFmtId="0" fontId="76" fillId="0" borderId="42" xfId="0" applyFont="1" applyFill="1" applyBorder="1" applyProtection="1"/>
    <xf numFmtId="0" fontId="57" fillId="0" borderId="42" xfId="0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/>
    </xf>
    <xf numFmtId="171" fontId="92" fillId="0" borderId="53" xfId="52" applyFont="1" applyFill="1" applyBorder="1" applyAlignment="1" applyProtection="1">
      <alignment horizontal="center" vertical="center"/>
    </xf>
    <xf numFmtId="178" fontId="92" fillId="0" borderId="53" xfId="52" applyNumberFormat="1" applyFont="1" applyFill="1" applyBorder="1" applyAlignment="1" applyProtection="1">
      <alignment vertical="center"/>
    </xf>
    <xf numFmtId="171" fontId="89" fillId="0" borderId="54" xfId="52" quotePrefix="1" applyFont="1" applyFill="1" applyBorder="1" applyAlignment="1" applyProtection="1">
      <alignment horizontal="center" vertical="center"/>
    </xf>
    <xf numFmtId="171" fontId="89" fillId="0" borderId="1" xfId="52" quotePrefix="1" applyFont="1" applyFill="1" applyBorder="1" applyAlignment="1" applyProtection="1">
      <alignment horizontal="center" vertical="center"/>
    </xf>
    <xf numFmtId="171" fontId="89" fillId="0" borderId="11" xfId="52" quotePrefix="1" applyFont="1" applyFill="1" applyBorder="1" applyAlignment="1" applyProtection="1">
      <alignment horizontal="center" vertical="center"/>
    </xf>
    <xf numFmtId="194" fontId="89" fillId="0" borderId="11" xfId="52" applyNumberFormat="1" applyFont="1" applyFill="1" applyBorder="1" applyAlignment="1" applyProtection="1">
      <alignment horizontal="center" vertical="center"/>
    </xf>
    <xf numFmtId="171" fontId="92" fillId="0" borderId="55" xfId="52" applyFont="1" applyFill="1" applyBorder="1" applyAlignment="1" applyProtection="1">
      <alignment horizontal="center" vertical="center"/>
    </xf>
    <xf numFmtId="1" fontId="92" fillId="0" borderId="55" xfId="0" applyNumberFormat="1" applyFont="1" applyFill="1" applyBorder="1" applyAlignment="1" applyProtection="1">
      <alignment horizontal="center" vertical="center"/>
    </xf>
    <xf numFmtId="171" fontId="92" fillId="0" borderId="53" xfId="52" applyNumberFormat="1" applyFont="1" applyFill="1" applyBorder="1" applyAlignment="1" applyProtection="1">
      <alignment horizontal="center" vertical="center"/>
    </xf>
    <xf numFmtId="178" fontId="89" fillId="0" borderId="11" xfId="52" applyNumberFormat="1" applyFont="1" applyFill="1" applyBorder="1" applyAlignment="1" applyProtection="1">
      <alignment vertical="center" wrapText="1"/>
    </xf>
    <xf numFmtId="171" fontId="89" fillId="0" borderId="11" xfId="52" applyFont="1" applyFill="1" applyBorder="1" applyAlignment="1" applyProtection="1">
      <alignment horizontal="right" vertical="center"/>
      <protection locked="0"/>
    </xf>
    <xf numFmtId="171" fontId="89" fillId="0" borderId="0" xfId="0" applyNumberFormat="1" applyFont="1" applyFill="1" applyBorder="1" applyAlignment="1" applyProtection="1">
      <alignment vertical="center"/>
    </xf>
    <xf numFmtId="171" fontId="89" fillId="0" borderId="0" xfId="52" applyFont="1" applyFill="1" applyBorder="1" applyAlignment="1" applyProtection="1">
      <alignment horizontal="center" vertical="center"/>
    </xf>
    <xf numFmtId="171" fontId="92" fillId="0" borderId="0" xfId="52" applyFont="1" applyFill="1" applyBorder="1" applyAlignment="1" applyProtection="1">
      <alignment vertical="center"/>
    </xf>
    <xf numFmtId="0" fontId="88" fillId="24" borderId="0" xfId="0" applyFont="1" applyFill="1" applyBorder="1" applyAlignment="1" applyProtection="1">
      <alignment horizontal="left" vertical="center"/>
    </xf>
    <xf numFmtId="171" fontId="88" fillId="24" borderId="18" xfId="52" applyFont="1" applyFill="1" applyBorder="1" applyAlignment="1" applyProtection="1">
      <alignment vertical="center"/>
    </xf>
    <xf numFmtId="178" fontId="88" fillId="24" borderId="53" xfId="52" applyNumberFormat="1" applyFont="1" applyFill="1" applyBorder="1" applyAlignment="1" applyProtection="1">
      <alignment vertical="center"/>
    </xf>
    <xf numFmtId="0" fontId="93" fillId="24" borderId="0" xfId="0" applyFont="1" applyFill="1" applyAlignment="1" applyProtection="1">
      <alignment vertical="center"/>
    </xf>
    <xf numFmtId="171" fontId="88" fillId="24" borderId="0" xfId="52" applyFont="1" applyFill="1" applyBorder="1" applyAlignment="1" applyProtection="1">
      <alignment vertical="center"/>
    </xf>
    <xf numFmtId="0" fontId="93" fillId="24" borderId="0" xfId="0" applyFont="1" applyFill="1" applyBorder="1" applyAlignment="1" applyProtection="1">
      <alignment vertical="center"/>
    </xf>
    <xf numFmtId="1" fontId="88" fillId="24" borderId="1" xfId="0" applyNumberFormat="1" applyFont="1" applyFill="1" applyBorder="1" applyAlignment="1" applyProtection="1">
      <alignment horizontal="center" vertical="center"/>
    </xf>
    <xf numFmtId="171" fontId="92" fillId="24" borderId="18" xfId="52" applyFont="1" applyFill="1" applyBorder="1" applyAlignment="1" applyProtection="1">
      <alignment vertical="center"/>
    </xf>
    <xf numFmtId="171" fontId="92" fillId="24" borderId="0" xfId="52" applyFont="1" applyFill="1" applyBorder="1" applyAlignment="1" applyProtection="1">
      <alignment vertical="center"/>
    </xf>
    <xf numFmtId="171" fontId="92" fillId="24" borderId="17" xfId="52" applyFont="1" applyFill="1" applyBorder="1" applyAlignment="1" applyProtection="1">
      <alignment vertical="center"/>
    </xf>
    <xf numFmtId="0" fontId="92" fillId="24" borderId="17" xfId="0" applyFont="1" applyFill="1" applyBorder="1" applyAlignment="1" applyProtection="1">
      <alignment horizontal="center" vertical="center"/>
    </xf>
    <xf numFmtId="0" fontId="95" fillId="24" borderId="0" xfId="0" applyFont="1" applyFill="1" applyBorder="1" applyAlignment="1" applyProtection="1">
      <alignment horizontal="center" vertical="center"/>
    </xf>
    <xf numFmtId="10" fontId="88" fillId="25" borderId="18" xfId="0" applyNumberFormat="1" applyFont="1" applyFill="1" applyBorder="1" applyAlignment="1" applyProtection="1">
      <alignment horizontal="center" vertical="center"/>
    </xf>
    <xf numFmtId="0" fontId="88" fillId="25" borderId="56" xfId="0" applyFont="1" applyFill="1" applyBorder="1" applyAlignment="1" applyProtection="1">
      <alignment horizontal="center"/>
    </xf>
    <xf numFmtId="10" fontId="93" fillId="25" borderId="18" xfId="0" applyNumberFormat="1" applyFont="1" applyFill="1" applyBorder="1" applyAlignment="1" applyProtection="1">
      <alignment horizontal="center" vertical="top"/>
    </xf>
    <xf numFmtId="10" fontId="93" fillId="25" borderId="56" xfId="0" applyNumberFormat="1" applyFont="1" applyFill="1" applyBorder="1" applyAlignment="1" applyProtection="1">
      <alignment horizontal="center" vertical="top"/>
    </xf>
    <xf numFmtId="10" fontId="88" fillId="25" borderId="17" xfId="0" applyNumberFormat="1" applyFont="1" applyFill="1" applyBorder="1" applyAlignment="1" applyProtection="1">
      <alignment horizontal="center" vertical="top"/>
    </xf>
    <xf numFmtId="10" fontId="93" fillId="25" borderId="0" xfId="0" applyNumberFormat="1" applyFont="1" applyFill="1" applyBorder="1" applyAlignment="1" applyProtection="1">
      <alignment horizontal="center" vertical="top"/>
    </xf>
    <xf numFmtId="0" fontId="96" fillId="25" borderId="0" xfId="0" applyFont="1" applyFill="1" applyBorder="1" applyAlignment="1" applyProtection="1">
      <alignment horizontal="center" vertical="top"/>
    </xf>
    <xf numFmtId="10" fontId="97" fillId="25" borderId="0" xfId="0" applyNumberFormat="1" applyFont="1" applyFill="1" applyBorder="1" applyAlignment="1" applyProtection="1">
      <alignment horizontal="center" vertical="center" wrapText="1"/>
    </xf>
    <xf numFmtId="10" fontId="88" fillId="25" borderId="17" xfId="0" applyNumberFormat="1" applyFont="1" applyFill="1" applyBorder="1" applyAlignment="1" applyProtection="1">
      <alignment horizontal="center" vertical="center" wrapText="1"/>
    </xf>
    <xf numFmtId="0" fontId="88" fillId="25" borderId="0" xfId="0" applyFont="1" applyFill="1" applyBorder="1" applyAlignment="1" applyProtection="1">
      <alignment horizontal="center" vertical="center" wrapText="1"/>
    </xf>
    <xf numFmtId="10" fontId="89" fillId="24" borderId="0" xfId="0" applyNumberFormat="1" applyFont="1" applyFill="1" applyAlignment="1" applyProtection="1">
      <alignment vertical="center"/>
    </xf>
    <xf numFmtId="0" fontId="93" fillId="25" borderId="44" xfId="0" applyFont="1" applyFill="1" applyBorder="1" applyAlignment="1" applyProtection="1">
      <alignment vertical="center" wrapText="1"/>
    </xf>
    <xf numFmtId="10" fontId="89" fillId="24" borderId="43" xfId="0" applyNumberFormat="1" applyFont="1" applyFill="1" applyBorder="1" applyAlignment="1" applyProtection="1">
      <alignment vertical="center"/>
    </xf>
    <xf numFmtId="0" fontId="93" fillId="25" borderId="0" xfId="0" applyFont="1" applyFill="1" applyBorder="1" applyAlignment="1" applyProtection="1">
      <alignment vertical="center" wrapText="1"/>
    </xf>
    <xf numFmtId="0" fontId="88" fillId="25" borderId="0" xfId="0" applyFont="1" applyFill="1" applyBorder="1" applyAlignment="1" applyProtection="1">
      <alignment vertical="center" wrapText="1"/>
    </xf>
    <xf numFmtId="0" fontId="93" fillId="25" borderId="57" xfId="0" applyFont="1" applyFill="1" applyBorder="1" applyAlignment="1" applyProtection="1">
      <alignment vertical="center" wrapText="1"/>
    </xf>
    <xf numFmtId="10" fontId="89" fillId="24" borderId="58" xfId="0" applyNumberFormat="1" applyFont="1" applyFill="1" applyBorder="1" applyAlignment="1" applyProtection="1">
      <alignment vertical="center"/>
    </xf>
    <xf numFmtId="0" fontId="98" fillId="24" borderId="59" xfId="0" applyFont="1" applyFill="1" applyBorder="1" applyAlignment="1" applyProtection="1">
      <alignment vertical="center"/>
    </xf>
    <xf numFmtId="0" fontId="92" fillId="25" borderId="17" xfId="0" applyFont="1" applyFill="1" applyBorder="1" applyAlignment="1" applyProtection="1">
      <alignment horizontal="center" vertical="center"/>
    </xf>
    <xf numFmtId="0" fontId="98" fillId="25" borderId="59" xfId="0" applyFont="1" applyFill="1" applyBorder="1" applyAlignment="1" applyProtection="1">
      <alignment horizontal="left" vertical="center"/>
    </xf>
    <xf numFmtId="0" fontId="20" fillId="0" borderId="44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vertical="center"/>
    </xf>
    <xf numFmtId="0" fontId="20" fillId="0" borderId="43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horizontal="center" vertical="center" wrapText="1"/>
    </xf>
    <xf numFmtId="1" fontId="57" fillId="0" borderId="18" xfId="0" applyNumberFormat="1" applyFont="1" applyFill="1" applyBorder="1" applyAlignment="1" applyProtection="1">
      <alignment horizontal="center" vertical="center"/>
      <protection locked="0"/>
    </xf>
    <xf numFmtId="1" fontId="57" fillId="0" borderId="17" xfId="0" applyNumberFormat="1" applyFont="1" applyFill="1" applyBorder="1" applyAlignment="1" applyProtection="1">
      <alignment horizontal="center" vertical="center"/>
      <protection locked="0"/>
    </xf>
    <xf numFmtId="0" fontId="57" fillId="0" borderId="18" xfId="0" applyFont="1" applyFill="1" applyBorder="1" applyAlignment="1" applyProtection="1">
      <alignment horizontal="center" vertical="center"/>
    </xf>
    <xf numFmtId="3" fontId="57" fillId="0" borderId="18" xfId="0" applyNumberFormat="1" applyFont="1" applyFill="1" applyBorder="1" applyAlignment="1" applyProtection="1">
      <alignment horizontal="center" vertical="center"/>
    </xf>
    <xf numFmtId="49" fontId="57" fillId="0" borderId="18" xfId="0" applyNumberFormat="1" applyFont="1" applyFill="1" applyBorder="1" applyAlignment="1" applyProtection="1">
      <alignment horizontal="center" vertical="center"/>
    </xf>
    <xf numFmtId="49" fontId="57" fillId="0" borderId="17" xfId="0" applyNumberFormat="1" applyFont="1" applyFill="1" applyBorder="1" applyAlignment="1" applyProtection="1">
      <alignment horizontal="center" vertical="center"/>
    </xf>
    <xf numFmtId="3" fontId="57" fillId="0" borderId="18" xfId="0" applyNumberFormat="1" applyFont="1" applyFill="1" applyBorder="1" applyAlignment="1" applyProtection="1">
      <alignment horizontal="center" vertical="center"/>
      <protection locked="0"/>
    </xf>
    <xf numFmtId="179" fontId="57" fillId="0" borderId="18" xfId="0" applyNumberFormat="1" applyFont="1" applyFill="1" applyBorder="1" applyAlignment="1" applyProtection="1">
      <alignment horizontal="center" vertical="center"/>
      <protection locked="0"/>
    </xf>
    <xf numFmtId="3" fontId="57" fillId="0" borderId="17" xfId="0" applyNumberFormat="1" applyFont="1" applyFill="1" applyBorder="1" applyAlignment="1" applyProtection="1">
      <alignment horizontal="center" vertical="center"/>
      <protection locked="0"/>
    </xf>
    <xf numFmtId="171" fontId="57" fillId="0" borderId="18" xfId="52" applyFont="1" applyFill="1" applyBorder="1" applyAlignment="1" applyProtection="1">
      <alignment horizontal="center" vertical="center"/>
      <protection locked="0"/>
    </xf>
    <xf numFmtId="171" fontId="47" fillId="0" borderId="17" xfId="52" applyFont="1" applyFill="1" applyBorder="1" applyAlignment="1" applyProtection="1">
      <alignment horizontal="center" vertical="center"/>
      <protection locked="0"/>
    </xf>
    <xf numFmtId="4" fontId="47" fillId="0" borderId="17" xfId="0" applyNumberFormat="1" applyFont="1" applyFill="1" applyBorder="1" applyAlignment="1" applyProtection="1">
      <alignment horizontal="center" vertical="center"/>
      <protection locked="0"/>
    </xf>
    <xf numFmtId="0" fontId="47" fillId="0" borderId="42" xfId="0" applyFont="1" applyFill="1" applyBorder="1" applyAlignment="1" applyProtection="1">
      <alignment horizontal="center" vertical="center"/>
    </xf>
    <xf numFmtId="0" fontId="72" fillId="0" borderId="44" xfId="0" applyFont="1" applyFill="1" applyBorder="1" applyAlignment="1" applyProtection="1">
      <alignment vertical="center"/>
    </xf>
    <xf numFmtId="0" fontId="57" fillId="0" borderId="44" xfId="0" applyFont="1" applyFill="1" applyBorder="1" applyAlignment="1" applyProtection="1">
      <alignment horizontal="left" vertical="center"/>
    </xf>
    <xf numFmtId="0" fontId="57" fillId="0" borderId="42" xfId="0" applyFont="1" applyFill="1" applyBorder="1" applyAlignment="1" applyProtection="1">
      <alignment horizontal="center" vertical="center"/>
    </xf>
    <xf numFmtId="0" fontId="58" fillId="0" borderId="42" xfId="0" applyFont="1" applyFill="1" applyBorder="1" applyAlignment="1" applyProtection="1">
      <alignment horizontal="center" vertical="center"/>
    </xf>
    <xf numFmtId="0" fontId="47" fillId="0" borderId="42" xfId="0" applyFont="1" applyFill="1" applyBorder="1" applyAlignment="1" applyProtection="1">
      <alignment horizontal="center" vertical="center" wrapText="1"/>
    </xf>
    <xf numFmtId="0" fontId="47" fillId="0" borderId="43" xfId="0" applyFont="1" applyFill="1" applyBorder="1" applyAlignment="1" applyProtection="1">
      <alignment horizontal="center" vertical="center"/>
    </xf>
    <xf numFmtId="183" fontId="89" fillId="0" borderId="18" xfId="52" applyNumberFormat="1" applyFont="1" applyFill="1" applyBorder="1" applyAlignment="1" applyProtection="1">
      <alignment vertical="center"/>
    </xf>
    <xf numFmtId="183" fontId="89" fillId="0" borderId="17" xfId="52" applyNumberFormat="1" applyFont="1" applyFill="1" applyBorder="1" applyAlignment="1" applyProtection="1">
      <alignment vertical="center"/>
    </xf>
    <xf numFmtId="171" fontId="89" fillId="0" borderId="18" xfId="52" applyNumberFormat="1" applyFont="1" applyFill="1" applyBorder="1" applyAlignment="1" applyProtection="1">
      <alignment vertical="center"/>
    </xf>
    <xf numFmtId="171" fontId="89" fillId="0" borderId="17" xfId="52" applyNumberFormat="1" applyFont="1" applyFill="1" applyBorder="1" applyAlignment="1" applyProtection="1">
      <alignment vertical="center"/>
    </xf>
    <xf numFmtId="183" fontId="89" fillId="0" borderId="17" xfId="52" applyNumberFormat="1" applyFont="1" applyFill="1" applyBorder="1" applyAlignment="1" applyProtection="1">
      <alignment horizontal="center" vertical="center"/>
    </xf>
    <xf numFmtId="171" fontId="89" fillId="0" borderId="17" xfId="52" applyFont="1" applyFill="1" applyBorder="1" applyAlignment="1" applyProtection="1">
      <alignment horizontal="center" vertical="center"/>
    </xf>
    <xf numFmtId="0" fontId="88" fillId="0" borderId="0" xfId="0" applyFont="1" applyFill="1" applyBorder="1" applyAlignment="1" applyProtection="1">
      <alignment horizontal="center" vertical="center"/>
    </xf>
    <xf numFmtId="171" fontId="88" fillId="0" borderId="17" xfId="52" applyNumberFormat="1" applyFont="1" applyFill="1" applyBorder="1" applyAlignment="1" applyProtection="1">
      <alignment vertical="center"/>
    </xf>
    <xf numFmtId="0" fontId="92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44" xfId="0" applyFont="1" applyFill="1" applyBorder="1" applyAlignment="1" applyProtection="1">
      <alignment horizontal="center" vertical="center" wrapText="1"/>
    </xf>
    <xf numFmtId="171" fontId="59" fillId="0" borderId="43" xfId="52" applyFont="1" applyFill="1" applyBorder="1" applyAlignment="1" applyProtection="1">
      <alignment horizontal="center" vertical="center" wrapText="1"/>
    </xf>
    <xf numFmtId="171" fontId="53" fillId="0" borderId="17" xfId="0" applyNumberFormat="1" applyFont="1" applyFill="1" applyBorder="1" applyAlignment="1" applyProtection="1">
      <alignment vertical="center"/>
    </xf>
    <xf numFmtId="0" fontId="50" fillId="0" borderId="0" xfId="0" applyFont="1" applyFill="1"/>
    <xf numFmtId="1" fontId="53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49" fontId="54" fillId="0" borderId="0" xfId="0" applyNumberFormat="1" applyFont="1" applyFill="1" applyBorder="1" applyAlignment="1" applyProtection="1">
      <alignment horizontal="left" vertical="center"/>
    </xf>
    <xf numFmtId="0" fontId="51" fillId="0" borderId="0" xfId="0" applyFont="1" applyFill="1" applyAlignment="1" applyProtection="1">
      <alignment vertical="center"/>
    </xf>
    <xf numFmtId="1" fontId="54" fillId="0" borderId="0" xfId="0" applyNumberFormat="1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horizontal="center" vertical="center" wrapText="1"/>
    </xf>
    <xf numFmtId="171" fontId="59" fillId="0" borderId="0" xfId="52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/>
    <xf numFmtId="171" fontId="3" fillId="0" borderId="0" xfId="0" applyNumberFormat="1" applyFont="1" applyFill="1" applyBorder="1" applyAlignment="1" applyProtection="1"/>
    <xf numFmtId="0" fontId="20" fillId="0" borderId="0" xfId="0" applyFont="1" applyFill="1" applyBorder="1" applyAlignment="1" applyProtection="1"/>
    <xf numFmtId="171" fontId="8" fillId="0" borderId="0" xfId="52" applyFont="1" applyFill="1" applyBorder="1" applyAlignment="1" applyProtection="1">
      <alignment horizontal="center" vertical="center"/>
    </xf>
    <xf numFmtId="0" fontId="20" fillId="0" borderId="0" xfId="0" applyFont="1" applyFill="1" applyAlignment="1"/>
    <xf numFmtId="0" fontId="3" fillId="0" borderId="0" xfId="0" applyFont="1" applyFill="1" applyBorder="1" applyAlignment="1" applyProtection="1">
      <alignment vertical="center"/>
      <protection hidden="1"/>
    </xf>
    <xf numFmtId="171" fontId="3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protection hidden="1"/>
    </xf>
    <xf numFmtId="0" fontId="20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  <protection hidden="1"/>
    </xf>
    <xf numFmtId="171" fontId="8" fillId="0" borderId="0" xfId="52" applyFont="1" applyFill="1" applyBorder="1" applyAlignment="1" applyProtection="1">
      <alignment horizontal="center" vertical="center"/>
      <protection hidden="1"/>
    </xf>
    <xf numFmtId="178" fontId="53" fillId="0" borderId="0" xfId="52" applyNumberFormat="1" applyFont="1" applyFill="1" applyBorder="1" applyAlignment="1" applyProtection="1">
      <alignment horizontal="left" vertical="center"/>
    </xf>
    <xf numFmtId="0" fontId="53" fillId="0" borderId="0" xfId="0" applyFont="1" applyFill="1" applyAlignment="1" applyProtection="1">
      <alignment horizontal="righ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 applyProtection="1"/>
    <xf numFmtId="0" fontId="0" fillId="0" borderId="0" xfId="0" applyFill="1" applyBorder="1"/>
    <xf numFmtId="0" fontId="20" fillId="0" borderId="0" xfId="0" applyFont="1" applyFill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49" fontId="33" fillId="0" borderId="0" xfId="0" applyNumberFormat="1" applyFont="1" applyFill="1" applyAlignment="1" applyProtection="1">
      <alignment horizontal="center" vertical="center"/>
    </xf>
    <xf numFmtId="49" fontId="35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49" fontId="36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185" fontId="20" fillId="0" borderId="0" xfId="0" applyNumberFormat="1" applyFont="1" applyFill="1" applyBorder="1" applyAlignment="1" applyProtection="1">
      <alignment vertical="center" wrapText="1"/>
    </xf>
    <xf numFmtId="167" fontId="20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47" fillId="0" borderId="17" xfId="0" applyFont="1" applyFill="1" applyBorder="1" applyAlignment="1" applyProtection="1">
      <alignment horizontal="center" vertical="center" wrapText="1"/>
    </xf>
    <xf numFmtId="0" fontId="47" fillId="0" borderId="18" xfId="0" applyFont="1" applyFill="1" applyBorder="1" applyAlignment="1" applyProtection="1">
      <alignment horizontal="left"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 locked="0"/>
    </xf>
    <xf numFmtId="1" fontId="47" fillId="0" borderId="18" xfId="0" applyNumberFormat="1" applyFont="1" applyFill="1" applyBorder="1" applyAlignment="1" applyProtection="1">
      <alignment horizontal="center" vertical="center"/>
      <protection locked="0"/>
    </xf>
    <xf numFmtId="1" fontId="47" fillId="0" borderId="17" xfId="0" applyNumberFormat="1" applyFont="1" applyFill="1" applyBorder="1" applyAlignment="1" applyProtection="1">
      <alignment horizontal="center" vertical="center"/>
      <protection locked="0"/>
    </xf>
    <xf numFmtId="171" fontId="47" fillId="0" borderId="18" xfId="52" applyFont="1" applyFill="1" applyBorder="1" applyAlignment="1" applyProtection="1">
      <alignment horizontal="center" vertical="center"/>
      <protection locked="0"/>
    </xf>
    <xf numFmtId="171" fontId="92" fillId="0" borderId="18" xfId="52" applyFont="1" applyFill="1" applyBorder="1" applyAlignment="1" applyProtection="1">
      <alignment vertical="center"/>
    </xf>
    <xf numFmtId="171" fontId="92" fillId="0" borderId="17" xfId="52" applyFont="1" applyFill="1" applyBorder="1" applyAlignment="1" applyProtection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/>
    </xf>
    <xf numFmtId="1" fontId="99" fillId="24" borderId="60" xfId="0" applyNumberFormat="1" applyFont="1" applyFill="1" applyBorder="1" applyAlignment="1" applyProtection="1">
      <alignment horizontal="center" vertical="center"/>
      <protection locked="0"/>
    </xf>
    <xf numFmtId="1" fontId="99" fillId="24" borderId="61" xfId="0" applyNumberFormat="1" applyFont="1" applyFill="1" applyBorder="1" applyAlignment="1" applyProtection="1">
      <alignment horizontal="center" vertical="center"/>
      <protection locked="0"/>
    </xf>
    <xf numFmtId="1" fontId="99" fillId="24" borderId="62" xfId="0" applyNumberFormat="1" applyFont="1" applyFill="1" applyBorder="1" applyAlignment="1" applyProtection="1">
      <alignment horizontal="center" vertical="center"/>
      <protection locked="0"/>
    </xf>
    <xf numFmtId="1" fontId="99" fillId="24" borderId="63" xfId="0" applyNumberFormat="1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vertical="center" wrapText="1"/>
    </xf>
    <xf numFmtId="171" fontId="7" fillId="24" borderId="0" xfId="52" applyNumberFormat="1" applyFont="1" applyFill="1" applyBorder="1" applyAlignment="1" applyProtection="1">
      <alignment vertical="center"/>
    </xf>
    <xf numFmtId="171" fontId="10" fillId="24" borderId="0" xfId="0" applyNumberFormat="1" applyFont="1" applyFill="1" applyBorder="1" applyAlignment="1" applyProtection="1">
      <alignment horizontal="center" vertical="center"/>
    </xf>
    <xf numFmtId="0" fontId="10" fillId="24" borderId="64" xfId="0" applyFont="1" applyFill="1" applyBorder="1" applyAlignment="1" applyProtection="1">
      <alignment horizontal="center" vertical="center"/>
    </xf>
    <xf numFmtId="171" fontId="10" fillId="24" borderId="64" xfId="0" applyNumberFormat="1" applyFont="1" applyFill="1" applyBorder="1" applyAlignment="1" applyProtection="1">
      <alignment horizontal="center" vertical="center"/>
    </xf>
    <xf numFmtId="0" fontId="10" fillId="24" borderId="0" xfId="0" applyFont="1" applyFill="1" applyBorder="1" applyAlignment="1">
      <alignment vertical="center"/>
    </xf>
    <xf numFmtId="171" fontId="7" fillId="24" borderId="0" xfId="0" applyNumberFormat="1" applyFont="1" applyFill="1" applyAlignment="1">
      <alignment vertical="center"/>
    </xf>
    <xf numFmtId="2" fontId="7" fillId="24" borderId="0" xfId="0" applyNumberFormat="1" applyFont="1" applyFill="1" applyAlignment="1">
      <alignment vertical="center"/>
    </xf>
    <xf numFmtId="0" fontId="58" fillId="24" borderId="65" xfId="0" applyFont="1" applyFill="1" applyBorder="1" applyAlignment="1" applyProtection="1">
      <alignment horizontal="center" vertical="center"/>
      <protection locked="0"/>
    </xf>
    <xf numFmtId="0" fontId="58" fillId="24" borderId="66" xfId="0" applyFont="1" applyFill="1" applyBorder="1" applyAlignment="1" applyProtection="1">
      <alignment horizontal="center" vertical="center"/>
      <protection locked="0"/>
    </xf>
    <xf numFmtId="0" fontId="58" fillId="24" borderId="67" xfId="0" applyFont="1" applyFill="1" applyBorder="1" applyAlignment="1" applyProtection="1">
      <alignment horizontal="center" vertical="center"/>
      <protection locked="0"/>
    </xf>
    <xf numFmtId="0" fontId="58" fillId="24" borderId="68" xfId="0" applyFont="1" applyFill="1" applyBorder="1" applyAlignment="1" applyProtection="1">
      <alignment horizontal="center" vertical="center"/>
      <protection locked="0"/>
    </xf>
    <xf numFmtId="171" fontId="88" fillId="24" borderId="65" xfId="0" applyNumberFormat="1" applyFont="1" applyFill="1" applyBorder="1" applyAlignment="1" applyProtection="1">
      <alignment horizontal="center" vertical="center"/>
    </xf>
    <xf numFmtId="171" fontId="88" fillId="24" borderId="66" xfId="0" applyNumberFormat="1" applyFont="1" applyFill="1" applyBorder="1" applyAlignment="1" applyProtection="1">
      <alignment horizontal="center" vertical="center"/>
    </xf>
    <xf numFmtId="171" fontId="88" fillId="24" borderId="68" xfId="0" applyNumberFormat="1" applyFont="1" applyFill="1" applyBorder="1" applyAlignment="1" applyProtection="1">
      <alignment horizontal="center" vertical="center"/>
    </xf>
    <xf numFmtId="0" fontId="88" fillId="24" borderId="0" xfId="0" applyFont="1" applyFill="1" applyBorder="1" applyAlignment="1">
      <alignment horizontal="right" vertical="center" wrapText="1"/>
    </xf>
    <xf numFmtId="178" fontId="93" fillId="24" borderId="65" xfId="52" applyNumberFormat="1" applyFont="1" applyFill="1" applyBorder="1" applyAlignment="1" applyProtection="1">
      <alignment horizontal="center" vertical="center"/>
    </xf>
    <xf numFmtId="178" fontId="93" fillId="24" borderId="66" xfId="52" applyNumberFormat="1" applyFont="1" applyFill="1" applyBorder="1" applyAlignment="1" applyProtection="1">
      <alignment horizontal="center" vertical="center"/>
    </xf>
    <xf numFmtId="178" fontId="93" fillId="24" borderId="68" xfId="52" applyNumberFormat="1" applyFont="1" applyFill="1" applyBorder="1" applyAlignment="1" applyProtection="1">
      <alignment horizontal="center" vertical="center"/>
    </xf>
    <xf numFmtId="178" fontId="88" fillId="24" borderId="65" xfId="0" applyNumberFormat="1" applyFont="1" applyFill="1" applyBorder="1" applyAlignment="1" applyProtection="1">
      <alignment horizontal="center" vertical="center"/>
    </xf>
    <xf numFmtId="178" fontId="88" fillId="24" borderId="66" xfId="0" applyNumberFormat="1" applyFont="1" applyFill="1" applyBorder="1" applyAlignment="1" applyProtection="1">
      <alignment horizontal="center" vertical="center"/>
    </xf>
    <xf numFmtId="178" fontId="88" fillId="24" borderId="67" xfId="0" applyNumberFormat="1" applyFont="1" applyFill="1" applyBorder="1" applyAlignment="1" applyProtection="1">
      <alignment horizontal="center" vertical="center"/>
    </xf>
    <xf numFmtId="178" fontId="88" fillId="24" borderId="68" xfId="0" applyNumberFormat="1" applyFont="1" applyFill="1" applyBorder="1" applyAlignment="1" applyProtection="1">
      <alignment horizontal="center" vertical="center"/>
    </xf>
    <xf numFmtId="0" fontId="58" fillId="24" borderId="0" xfId="0" applyFont="1" applyFill="1" applyBorder="1" applyAlignment="1" applyProtection="1">
      <alignment horizontal="center" vertical="center"/>
    </xf>
    <xf numFmtId="0" fontId="58" fillId="24" borderId="0" xfId="0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 horizontal="centerContinuous" vertical="center"/>
    </xf>
    <xf numFmtId="179" fontId="58" fillId="24" borderId="0" xfId="0" applyNumberFormat="1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vertical="center" wrapText="1"/>
    </xf>
    <xf numFmtId="0" fontId="58" fillId="24" borderId="0" xfId="0" applyFont="1" applyFill="1" applyBorder="1" applyAlignment="1">
      <alignment horizontal="center" vertical="center" wrapText="1"/>
    </xf>
    <xf numFmtId="0" fontId="75" fillId="24" borderId="0" xfId="0" applyFont="1" applyFill="1" applyAlignment="1">
      <alignment vertical="center"/>
    </xf>
    <xf numFmtId="0" fontId="58" fillId="24" borderId="69" xfId="0" applyFont="1" applyFill="1" applyBorder="1" applyAlignment="1">
      <alignment horizontal="center" vertical="center"/>
    </xf>
    <xf numFmtId="0" fontId="75" fillId="24" borderId="70" xfId="0" applyFont="1" applyFill="1" applyBorder="1" applyAlignment="1">
      <alignment horizontal="centerContinuous" vertical="center"/>
    </xf>
    <xf numFmtId="0" fontId="75" fillId="24" borderId="71" xfId="0" applyFont="1" applyFill="1" applyBorder="1" applyAlignment="1">
      <alignment horizontal="centerContinuous" vertical="center"/>
    </xf>
    <xf numFmtId="0" fontId="58" fillId="24" borderId="72" xfId="0" applyFont="1" applyFill="1" applyBorder="1" applyAlignment="1">
      <alignment horizontal="center" vertical="center"/>
    </xf>
    <xf numFmtId="0" fontId="58" fillId="24" borderId="63" xfId="0" applyFont="1" applyFill="1" applyBorder="1" applyAlignment="1" applyProtection="1">
      <alignment horizontal="center" vertical="center"/>
    </xf>
    <xf numFmtId="0" fontId="58" fillId="24" borderId="63" xfId="0" applyFont="1" applyFill="1" applyBorder="1" applyAlignment="1">
      <alignment horizontal="center" vertical="center"/>
    </xf>
    <xf numFmtId="0" fontId="58" fillId="24" borderId="72" xfId="0" applyFont="1" applyFill="1" applyBorder="1" applyAlignment="1">
      <alignment horizontal="center" vertical="center" wrapText="1"/>
    </xf>
    <xf numFmtId="0" fontId="58" fillId="24" borderId="73" xfId="0" applyFont="1" applyFill="1" applyBorder="1" applyAlignment="1" applyProtection="1">
      <alignment horizontal="center" vertical="center" wrapText="1"/>
      <protection locked="0"/>
    </xf>
    <xf numFmtId="0" fontId="64" fillId="24" borderId="71" xfId="0" applyFont="1" applyFill="1" applyBorder="1" applyAlignment="1">
      <alignment vertical="center"/>
    </xf>
    <xf numFmtId="0" fontId="64" fillId="24" borderId="74" xfId="0" applyFont="1" applyFill="1" applyBorder="1" applyAlignment="1">
      <alignment vertical="center"/>
    </xf>
    <xf numFmtId="1" fontId="64" fillId="24" borderId="63" xfId="0" applyNumberFormat="1" applyFont="1" applyFill="1" applyBorder="1" applyAlignment="1">
      <alignment vertical="center"/>
    </xf>
    <xf numFmtId="1" fontId="64" fillId="24" borderId="62" xfId="0" applyNumberFormat="1" applyFont="1" applyFill="1" applyBorder="1" applyAlignment="1">
      <alignment vertical="center"/>
    </xf>
    <xf numFmtId="0" fontId="47" fillId="24" borderId="0" xfId="0" applyFont="1" applyFill="1" applyAlignment="1" applyProtection="1">
      <alignment vertical="center"/>
    </xf>
    <xf numFmtId="0" fontId="63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horizontal="center" vertical="center" textRotation="45" wrapText="1"/>
    </xf>
    <xf numFmtId="49" fontId="65" fillId="0" borderId="0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center"/>
    </xf>
    <xf numFmtId="0" fontId="49" fillId="24" borderId="0" xfId="0" applyFont="1" applyFill="1" applyBorder="1" applyAlignment="1" applyProtection="1">
      <alignment horizontal="right" vertical="center" wrapText="1"/>
    </xf>
    <xf numFmtId="0" fontId="49" fillId="24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center"/>
    </xf>
    <xf numFmtId="171" fontId="92" fillId="0" borderId="18" xfId="52" applyFont="1" applyFill="1" applyBorder="1" applyAlignment="1" applyProtection="1">
      <alignment vertical="center"/>
      <protection locked="0"/>
    </xf>
    <xf numFmtId="171" fontId="58" fillId="24" borderId="65" xfId="52" applyFont="1" applyFill="1" applyBorder="1" applyAlignment="1" applyProtection="1">
      <alignment vertical="center"/>
      <protection locked="0"/>
    </xf>
    <xf numFmtId="171" fontId="58" fillId="24" borderId="65" xfId="52" applyFont="1" applyFill="1" applyBorder="1" applyAlignment="1" applyProtection="1">
      <alignment horizontal="center" vertical="center"/>
      <protection locked="0"/>
    </xf>
    <xf numFmtId="171" fontId="58" fillId="24" borderId="66" xfId="52" applyFont="1" applyFill="1" applyBorder="1" applyAlignment="1" applyProtection="1">
      <alignment vertical="center"/>
      <protection locked="0"/>
    </xf>
    <xf numFmtId="171" fontId="58" fillId="24" borderId="66" xfId="52" applyFont="1" applyFill="1" applyBorder="1" applyAlignment="1" applyProtection="1">
      <alignment horizontal="center" vertical="center"/>
      <protection locked="0"/>
    </xf>
    <xf numFmtId="171" fontId="58" fillId="24" borderId="67" xfId="52" applyFont="1" applyFill="1" applyBorder="1" applyAlignment="1" applyProtection="1">
      <alignment horizontal="center" vertical="center"/>
      <protection locked="0"/>
    </xf>
    <xf numFmtId="171" fontId="58" fillId="24" borderId="67" xfId="52" applyFont="1" applyFill="1" applyBorder="1" applyAlignment="1" applyProtection="1">
      <alignment vertical="center"/>
      <protection locked="0"/>
    </xf>
    <xf numFmtId="171" fontId="58" fillId="24" borderId="68" xfId="52" applyFont="1" applyFill="1" applyBorder="1" applyAlignment="1" applyProtection="1">
      <alignment horizontal="center" vertical="center"/>
      <protection locked="0"/>
    </xf>
    <xf numFmtId="171" fontId="58" fillId="24" borderId="68" xfId="52" applyFont="1" applyFill="1" applyBorder="1" applyAlignment="1" applyProtection="1">
      <alignment vertical="center"/>
      <protection locked="0"/>
    </xf>
    <xf numFmtId="0" fontId="75" fillId="24" borderId="22" xfId="0" applyFont="1" applyFill="1" applyBorder="1" applyAlignment="1" applyProtection="1">
      <alignment horizontal="left" vertical="center"/>
    </xf>
    <xf numFmtId="0" fontId="75" fillId="24" borderId="23" xfId="0" applyFont="1" applyFill="1" applyBorder="1" applyAlignment="1" applyProtection="1">
      <alignment horizontal="left" vertical="center"/>
    </xf>
    <xf numFmtId="0" fontId="75" fillId="24" borderId="34" xfId="0" applyFont="1" applyFill="1" applyBorder="1" applyAlignment="1" applyProtection="1">
      <alignment horizontal="left" vertical="center"/>
    </xf>
    <xf numFmtId="0" fontId="33" fillId="24" borderId="0" xfId="0" applyFont="1" applyFill="1" applyAlignment="1" applyProtection="1">
      <alignment horizontal="center" vertical="center"/>
    </xf>
    <xf numFmtId="4" fontId="20" fillId="24" borderId="0" xfId="0" applyNumberFormat="1" applyFont="1" applyFill="1" applyAlignment="1" applyProtection="1">
      <alignment vertical="center"/>
    </xf>
    <xf numFmtId="49" fontId="32" fillId="24" borderId="0" xfId="0" applyNumberFormat="1" applyFont="1" applyFill="1" applyBorder="1" applyAlignment="1" applyProtection="1">
      <alignment horizontal="center" vertical="center" wrapText="1"/>
    </xf>
    <xf numFmtId="49" fontId="36" fillId="24" borderId="0" xfId="0" applyNumberFormat="1" applyFont="1" applyFill="1" applyBorder="1" applyAlignment="1" applyProtection="1">
      <alignment horizontal="center" vertical="center" wrapText="1"/>
    </xf>
    <xf numFmtId="4" fontId="36" fillId="24" borderId="0" xfId="0" applyNumberFormat="1" applyFont="1" applyFill="1" applyBorder="1" applyAlignment="1" applyProtection="1">
      <alignment horizontal="center" vertical="center" wrapText="1"/>
    </xf>
    <xf numFmtId="0" fontId="33" fillId="24" borderId="0" xfId="0" applyFont="1" applyFill="1" applyAlignment="1" applyProtection="1">
      <alignment horizontal="center" vertical="center" wrapText="1"/>
    </xf>
    <xf numFmtId="167" fontId="7" fillId="25" borderId="0" xfId="0" applyNumberFormat="1" applyFont="1" applyFill="1" applyBorder="1" applyAlignment="1" applyProtection="1">
      <alignment vertical="center" wrapText="1"/>
    </xf>
    <xf numFmtId="0" fontId="7" fillId="24" borderId="0" xfId="0" applyFont="1" applyFill="1" applyAlignment="1" applyProtection="1">
      <alignment vertical="center" wrapText="1"/>
    </xf>
    <xf numFmtId="4" fontId="10" fillId="25" borderId="0" xfId="0" applyNumberFormat="1" applyFont="1" applyFill="1" applyBorder="1" applyAlignment="1" applyProtection="1">
      <alignment horizontal="center" vertical="center" wrapText="1"/>
    </xf>
    <xf numFmtId="1" fontId="3" fillId="25" borderId="0" xfId="0" applyNumberFormat="1" applyFont="1" applyFill="1" applyBorder="1" applyAlignment="1" applyProtection="1">
      <alignment vertical="center"/>
    </xf>
    <xf numFmtId="4" fontId="20" fillId="25" borderId="0" xfId="0" applyNumberFormat="1" applyFont="1" applyFill="1" applyBorder="1" applyAlignment="1" applyProtection="1">
      <alignment horizontal="center" vertical="center"/>
    </xf>
    <xf numFmtId="185" fontId="75" fillId="25" borderId="0" xfId="0" applyNumberFormat="1" applyFont="1" applyFill="1" applyBorder="1" applyAlignment="1" applyProtection="1">
      <alignment vertical="center" wrapText="1"/>
    </xf>
    <xf numFmtId="167" fontId="75" fillId="25" borderId="0" xfId="0" applyNumberFormat="1" applyFont="1" applyFill="1" applyBorder="1" applyAlignment="1" applyProtection="1">
      <alignment vertical="center" wrapText="1"/>
    </xf>
    <xf numFmtId="4" fontId="58" fillId="25" borderId="17" xfId="0" applyNumberFormat="1" applyFont="1" applyFill="1" applyBorder="1" applyAlignment="1" applyProtection="1">
      <alignment horizontal="center" vertical="center" wrapText="1"/>
    </xf>
    <xf numFmtId="0" fontId="47" fillId="25" borderId="1" xfId="0" applyFont="1" applyFill="1" applyBorder="1" applyAlignment="1" applyProtection="1">
      <alignment horizontal="left" vertical="center" wrapText="1"/>
      <protection locked="0"/>
    </xf>
    <xf numFmtId="49" fontId="47" fillId="25" borderId="1" xfId="0" applyNumberFormat="1" applyFont="1" applyFill="1" applyBorder="1" applyAlignment="1" applyProtection="1">
      <alignment horizontal="center" vertical="center"/>
      <protection locked="0"/>
    </xf>
    <xf numFmtId="4" fontId="47" fillId="25" borderId="1" xfId="0" applyNumberFormat="1" applyFont="1" applyFill="1" applyBorder="1" applyAlignment="1" applyProtection="1">
      <alignment horizontal="center" vertical="center"/>
      <protection locked="0"/>
    </xf>
    <xf numFmtId="171" fontId="47" fillId="25" borderId="18" xfId="52" applyFont="1" applyFill="1" applyBorder="1" applyAlignment="1" applyProtection="1">
      <alignment vertical="center"/>
      <protection locked="0"/>
    </xf>
    <xf numFmtId="0" fontId="47" fillId="25" borderId="19" xfId="0" applyFont="1" applyFill="1" applyBorder="1" applyAlignment="1" applyProtection="1">
      <alignment horizontal="left" vertical="center" wrapText="1"/>
      <protection locked="0"/>
    </xf>
    <xf numFmtId="49" fontId="47" fillId="25" borderId="19" xfId="0" applyNumberFormat="1" applyFont="1" applyFill="1" applyBorder="1" applyAlignment="1" applyProtection="1">
      <alignment horizontal="center" vertical="center"/>
      <protection locked="0"/>
    </xf>
    <xf numFmtId="4" fontId="47" fillId="25" borderId="19" xfId="0" applyNumberFormat="1" applyFont="1" applyFill="1" applyBorder="1" applyAlignment="1" applyProtection="1">
      <alignment horizontal="center" vertical="center"/>
      <protection locked="0"/>
    </xf>
    <xf numFmtId="171" fontId="47" fillId="25" borderId="17" xfId="52" applyFont="1" applyFill="1" applyBorder="1" applyAlignment="1" applyProtection="1">
      <alignment vertical="center"/>
      <protection locked="0"/>
    </xf>
    <xf numFmtId="171" fontId="92" fillId="25" borderId="17" xfId="52" applyFont="1" applyFill="1" applyBorder="1" applyAlignment="1" applyProtection="1">
      <alignment vertical="center"/>
    </xf>
    <xf numFmtId="0" fontId="65" fillId="24" borderId="0" xfId="0" applyFont="1" applyFill="1" applyAlignment="1" applyProtection="1">
      <alignment horizontal="center" vertical="center"/>
    </xf>
    <xf numFmtId="0" fontId="100" fillId="24" borderId="0" xfId="0" applyFont="1" applyFill="1" applyAlignment="1" applyProtection="1">
      <alignment vertical="center"/>
    </xf>
    <xf numFmtId="4" fontId="100" fillId="24" borderId="0" xfId="0" applyNumberFormat="1" applyFont="1" applyFill="1" applyAlignment="1" applyProtection="1">
      <alignment vertical="center"/>
    </xf>
    <xf numFmtId="167" fontId="93" fillId="25" borderId="0" xfId="0" applyNumberFormat="1" applyFont="1" applyFill="1" applyBorder="1" applyAlignment="1" applyProtection="1">
      <alignment vertical="center" wrapText="1"/>
    </xf>
    <xf numFmtId="0" fontId="98" fillId="0" borderId="0" xfId="0" applyFont="1" applyFill="1" applyAlignment="1" applyProtection="1">
      <alignment vertical="center"/>
    </xf>
    <xf numFmtId="0" fontId="101" fillId="0" borderId="0" xfId="0" applyFont="1" applyFill="1" applyAlignment="1" applyProtection="1">
      <alignment horizontal="center" vertical="center"/>
    </xf>
    <xf numFmtId="2" fontId="98" fillId="0" borderId="0" xfId="0" applyNumberFormat="1" applyFont="1" applyFill="1" applyAlignment="1" applyProtection="1">
      <alignment vertical="center"/>
    </xf>
    <xf numFmtId="4" fontId="58" fillId="24" borderId="22" xfId="0" applyNumberFormat="1" applyFont="1" applyFill="1" applyBorder="1" applyAlignment="1" applyProtection="1">
      <alignment horizontal="center" vertical="center" wrapText="1"/>
      <protection locked="0"/>
    </xf>
    <xf numFmtId="10" fontId="47" fillId="25" borderId="75" xfId="0" applyNumberFormat="1" applyFont="1" applyFill="1" applyBorder="1" applyAlignment="1" applyProtection="1">
      <alignment horizontal="center" vertical="center"/>
      <protection locked="0"/>
    </xf>
    <xf numFmtId="10" fontId="93" fillId="24" borderId="76" xfId="0" applyNumberFormat="1" applyFont="1" applyFill="1" applyBorder="1" applyAlignment="1" applyProtection="1">
      <alignment horizontal="center" vertical="center" wrapText="1"/>
    </xf>
    <xf numFmtId="10" fontId="89" fillId="24" borderId="31" xfId="0" applyNumberFormat="1" applyFont="1" applyFill="1" applyBorder="1" applyAlignment="1" applyProtection="1">
      <alignment horizontal="center" vertical="center" wrapText="1"/>
    </xf>
    <xf numFmtId="0" fontId="88" fillId="24" borderId="23" xfId="0" applyFont="1" applyFill="1" applyBorder="1" applyAlignment="1" applyProtection="1">
      <alignment horizontal="center" vertical="center" wrapText="1"/>
    </xf>
    <xf numFmtId="10" fontId="93" fillId="24" borderId="11" xfId="0" applyNumberFormat="1" applyFont="1" applyFill="1" applyBorder="1" applyAlignment="1" applyProtection="1">
      <alignment horizontal="center" vertical="center" wrapText="1"/>
    </xf>
    <xf numFmtId="10" fontId="92" fillId="24" borderId="11" xfId="0" applyNumberFormat="1" applyFont="1" applyFill="1" applyBorder="1" applyAlignment="1" applyProtection="1">
      <alignment horizontal="center" vertical="center" wrapText="1"/>
    </xf>
    <xf numFmtId="180" fontId="93" fillId="24" borderId="0" xfId="0" applyNumberFormat="1" applyFont="1" applyFill="1" applyBorder="1" applyAlignment="1" applyProtection="1">
      <alignment horizontal="center" vertical="center" wrapText="1"/>
    </xf>
    <xf numFmtId="171" fontId="93" fillId="24" borderId="16" xfId="52" applyFont="1" applyFill="1" applyBorder="1" applyAlignment="1" applyProtection="1">
      <alignment horizontal="center" vertical="center" wrapText="1"/>
    </xf>
    <xf numFmtId="171" fontId="93" fillId="24" borderId="22" xfId="52" applyFont="1" applyFill="1" applyBorder="1" applyAlignment="1" applyProtection="1">
      <alignment horizontal="center" vertical="center" wrapText="1"/>
    </xf>
    <xf numFmtId="171" fontId="89" fillId="24" borderId="32" xfId="52" applyFont="1" applyFill="1" applyBorder="1" applyAlignment="1" applyProtection="1">
      <alignment horizontal="center" vertical="center" wrapText="1"/>
    </xf>
    <xf numFmtId="171" fontId="89" fillId="24" borderId="11" xfId="52" applyFont="1" applyFill="1" applyBorder="1" applyAlignment="1" applyProtection="1">
      <alignment horizontal="center" vertical="center" wrapText="1"/>
    </xf>
    <xf numFmtId="171" fontId="89" fillId="24" borderId="34" xfId="52" applyFont="1" applyFill="1" applyBorder="1" applyAlignment="1" applyProtection="1">
      <alignment horizontal="center" vertical="center" wrapText="1"/>
    </xf>
    <xf numFmtId="10" fontId="93" fillId="24" borderId="11" xfId="0" applyNumberFormat="1" applyFont="1" applyFill="1" applyBorder="1" applyAlignment="1" applyProtection="1">
      <alignment horizontal="center" vertical="center"/>
    </xf>
    <xf numFmtId="10" fontId="93" fillId="24" borderId="76" xfId="0" applyNumberFormat="1" applyFont="1" applyFill="1" applyBorder="1" applyAlignment="1" applyProtection="1">
      <alignment horizontal="center" vertical="center"/>
    </xf>
    <xf numFmtId="10" fontId="89" fillId="24" borderId="11" xfId="0" applyNumberFormat="1" applyFont="1" applyFill="1" applyBorder="1" applyAlignment="1" applyProtection="1">
      <alignment horizontal="center" vertical="center" wrapText="1"/>
    </xf>
    <xf numFmtId="171" fontId="93" fillId="24" borderId="16" xfId="52" applyFont="1" applyFill="1" applyBorder="1" applyAlignment="1" applyProtection="1">
      <alignment vertical="center"/>
    </xf>
    <xf numFmtId="171" fontId="88" fillId="24" borderId="11" xfId="0" applyNumberFormat="1" applyFont="1" applyFill="1" applyBorder="1" applyAlignment="1" applyProtection="1">
      <alignment vertical="center"/>
    </xf>
    <xf numFmtId="0" fontId="75" fillId="24" borderId="23" xfId="0" applyFont="1" applyFill="1" applyBorder="1" applyAlignment="1" applyProtection="1">
      <alignment vertical="center"/>
    </xf>
    <xf numFmtId="0" fontId="75" fillId="24" borderId="34" xfId="0" applyFont="1" applyFill="1" applyBorder="1" applyAlignment="1" applyProtection="1">
      <alignment vertical="center"/>
    </xf>
    <xf numFmtId="171" fontId="93" fillId="24" borderId="22" xfId="52" applyFont="1" applyFill="1" applyBorder="1" applyAlignment="1" applyProtection="1">
      <alignment vertical="center"/>
    </xf>
    <xf numFmtId="4" fontId="93" fillId="24" borderId="11" xfId="0" applyNumberFormat="1" applyFont="1" applyFill="1" applyBorder="1" applyAlignment="1" applyProtection="1">
      <alignment horizontal="center" vertical="center" wrapText="1"/>
    </xf>
    <xf numFmtId="4" fontId="88" fillId="24" borderId="34" xfId="0" applyNumberFormat="1" applyFont="1" applyFill="1" applyBorder="1" applyAlignment="1" applyProtection="1">
      <alignment horizontal="center" vertical="center" wrapText="1"/>
    </xf>
    <xf numFmtId="171" fontId="93" fillId="24" borderId="22" xfId="52" applyNumberFormat="1" applyFont="1" applyFill="1" applyBorder="1" applyAlignment="1" applyProtection="1">
      <alignment horizontal="center" vertical="center" wrapText="1"/>
    </xf>
    <xf numFmtId="0" fontId="101" fillId="24" borderId="77" xfId="0" applyNumberFormat="1" applyFont="1" applyFill="1" applyBorder="1" applyAlignment="1" applyProtection="1">
      <alignment horizontal="left" vertical="center"/>
      <protection locked="0"/>
    </xf>
    <xf numFmtId="0" fontId="101" fillId="24" borderId="56" xfId="0" applyNumberFormat="1" applyFont="1" applyFill="1" applyBorder="1" applyAlignment="1" applyProtection="1">
      <alignment horizontal="left" vertical="center"/>
      <protection locked="0"/>
    </xf>
    <xf numFmtId="0" fontId="101" fillId="24" borderId="78" xfId="0" applyNumberFormat="1" applyFont="1" applyFill="1" applyBorder="1" applyAlignment="1" applyProtection="1">
      <alignment horizontal="left" vertical="center"/>
      <protection locked="0"/>
    </xf>
    <xf numFmtId="1" fontId="93" fillId="24" borderId="76" xfId="0" applyNumberFormat="1" applyFont="1" applyFill="1" applyBorder="1" applyAlignment="1" applyProtection="1">
      <alignment horizontal="center" vertical="center" wrapText="1"/>
    </xf>
    <xf numFmtId="171" fontId="93" fillId="24" borderId="76" xfId="52" applyFont="1" applyFill="1" applyBorder="1" applyAlignment="1" applyProtection="1">
      <alignment horizontal="center" vertical="center" wrapText="1"/>
    </xf>
    <xf numFmtId="1" fontId="93" fillId="24" borderId="11" xfId="0" applyNumberFormat="1" applyFont="1" applyFill="1" applyBorder="1" applyAlignment="1" applyProtection="1">
      <alignment horizontal="center" vertical="center" wrapText="1"/>
    </xf>
    <xf numFmtId="171" fontId="93" fillId="24" borderId="11" xfId="52" applyFont="1" applyFill="1" applyBorder="1" applyAlignment="1" applyProtection="1">
      <alignment horizontal="center" vertical="center" wrapText="1"/>
    </xf>
    <xf numFmtId="171" fontId="88" fillId="24" borderId="11" xfId="52" applyFont="1" applyFill="1" applyBorder="1" applyAlignment="1" applyProtection="1">
      <alignment horizontal="left" vertical="center" wrapText="1"/>
    </xf>
    <xf numFmtId="39" fontId="88" fillId="24" borderId="11" xfId="52" applyNumberFormat="1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horizontal="right" vertical="center"/>
    </xf>
    <xf numFmtId="1" fontId="88" fillId="24" borderId="11" xfId="0" applyNumberFormat="1" applyFont="1" applyFill="1" applyBorder="1" applyAlignment="1" applyProtection="1">
      <alignment horizontal="center" vertical="center" wrapText="1"/>
    </xf>
    <xf numFmtId="1" fontId="75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75" fillId="24" borderId="11" xfId="0" applyNumberFormat="1" applyFont="1" applyFill="1" applyBorder="1" applyAlignment="1" applyProtection="1">
      <alignment horizontal="center" vertical="center" wrapText="1"/>
      <protection locked="0"/>
    </xf>
    <xf numFmtId="171" fontId="88" fillId="24" borderId="61" xfId="0" applyNumberFormat="1" applyFont="1" applyFill="1" applyBorder="1" applyAlignment="1">
      <alignment vertical="center"/>
    </xf>
    <xf numFmtId="171" fontId="88" fillId="24" borderId="63" xfId="0" applyNumberFormat="1" applyFont="1" applyFill="1" applyBorder="1" applyAlignment="1">
      <alignment vertical="center"/>
    </xf>
    <xf numFmtId="171" fontId="88" fillId="24" borderId="62" xfId="0" applyNumberFormat="1" applyFont="1" applyFill="1" applyBorder="1" applyAlignment="1">
      <alignment vertical="center"/>
    </xf>
    <xf numFmtId="171" fontId="88" fillId="24" borderId="60" xfId="0" applyNumberFormat="1" applyFont="1" applyFill="1" applyBorder="1" applyAlignment="1">
      <alignment vertical="center"/>
    </xf>
    <xf numFmtId="171" fontId="93" fillId="24" borderId="65" xfId="52" applyNumberFormat="1" applyFont="1" applyFill="1" applyBorder="1" applyAlignment="1" applyProtection="1">
      <alignment vertical="center"/>
    </xf>
    <xf numFmtId="171" fontId="88" fillId="24" borderId="65" xfId="52" applyNumberFormat="1" applyFont="1" applyFill="1" applyBorder="1" applyAlignment="1" applyProtection="1">
      <alignment vertical="center"/>
    </xf>
    <xf numFmtId="171" fontId="93" fillId="24" borderId="66" xfId="52" quotePrefix="1" applyNumberFormat="1" applyFont="1" applyFill="1" applyBorder="1" applyAlignment="1" applyProtection="1">
      <alignment vertical="center"/>
    </xf>
    <xf numFmtId="171" fontId="93" fillId="24" borderId="68" xfId="0" applyNumberFormat="1" applyFont="1" applyFill="1" applyBorder="1" applyAlignment="1">
      <alignment vertical="center"/>
    </xf>
    <xf numFmtId="171" fontId="92" fillId="25" borderId="17" xfId="52" applyNumberFormat="1" applyFont="1" applyFill="1" applyBorder="1" applyAlignment="1" applyProtection="1">
      <alignment vertical="center"/>
    </xf>
    <xf numFmtId="0" fontId="51" fillId="0" borderId="11" xfId="0" applyFont="1" applyFill="1" applyBorder="1" applyAlignment="1" applyProtection="1">
      <alignment horizontal="center" vertical="center" wrapText="1"/>
    </xf>
    <xf numFmtId="171" fontId="93" fillId="24" borderId="68" xfId="0" applyNumberFormat="1" applyFont="1" applyFill="1" applyBorder="1" applyAlignment="1" applyProtection="1">
      <alignment vertical="center"/>
    </xf>
    <xf numFmtId="0" fontId="64" fillId="24" borderId="0" xfId="0" applyFont="1" applyFill="1" applyBorder="1" applyAlignment="1">
      <alignment horizontal="center" vertical="center"/>
    </xf>
    <xf numFmtId="0" fontId="65" fillId="24" borderId="0" xfId="0" applyFont="1" applyFill="1" applyBorder="1" applyAlignment="1">
      <alignment vertical="center"/>
    </xf>
    <xf numFmtId="171" fontId="88" fillId="24" borderId="65" xfId="52" applyFont="1" applyFill="1" applyBorder="1" applyAlignment="1" applyProtection="1">
      <alignment horizontal="left" wrapText="1"/>
    </xf>
    <xf numFmtId="171" fontId="88" fillId="24" borderId="66" xfId="52" applyFont="1" applyFill="1" applyBorder="1" applyAlignment="1" applyProtection="1">
      <alignment horizontal="left" wrapText="1"/>
    </xf>
    <xf numFmtId="171" fontId="88" fillId="24" borderId="68" xfId="52" applyFont="1" applyFill="1" applyBorder="1" applyAlignment="1" applyProtection="1">
      <alignment horizontal="left" wrapText="1"/>
    </xf>
    <xf numFmtId="2" fontId="103" fillId="24" borderId="0" xfId="0" applyNumberFormat="1" applyFont="1" applyFill="1" applyBorder="1" applyAlignment="1" applyProtection="1">
      <alignment horizontal="center" vertical="center" wrapText="1"/>
    </xf>
    <xf numFmtId="171" fontId="51" fillId="24" borderId="34" xfId="52" applyNumberFormat="1" applyFont="1" applyFill="1" applyBorder="1" applyAlignment="1" applyProtection="1">
      <alignment horizontal="center" vertical="center" wrapText="1"/>
    </xf>
    <xf numFmtId="0" fontId="104" fillId="0" borderId="0" xfId="0" applyFont="1" applyFill="1" applyAlignment="1" applyProtection="1">
      <alignment horizontal="left" vertical="center"/>
    </xf>
    <xf numFmtId="171" fontId="89" fillId="0" borderId="11" xfId="52" quotePrefix="1" applyFont="1" applyFill="1" applyBorder="1" applyAlignment="1" applyProtection="1">
      <alignment horizontal="center" vertical="center"/>
      <protection locked="0"/>
    </xf>
    <xf numFmtId="10" fontId="47" fillId="0" borderId="79" xfId="52" applyNumberFormat="1" applyFont="1" applyFill="1" applyBorder="1" applyAlignment="1" applyProtection="1">
      <alignment horizontal="center" vertical="center"/>
      <protection locked="0"/>
    </xf>
    <xf numFmtId="178" fontId="88" fillId="24" borderId="0" xfId="0" applyNumberFormat="1" applyFont="1" applyFill="1" applyBorder="1" applyAlignment="1">
      <alignment vertical="center"/>
    </xf>
    <xf numFmtId="171" fontId="98" fillId="25" borderId="0" xfId="52" applyFont="1" applyFill="1" applyBorder="1" applyAlignment="1" applyProtection="1">
      <alignment vertical="center"/>
    </xf>
    <xf numFmtId="171" fontId="92" fillId="25" borderId="0" xfId="52" applyFont="1" applyFill="1" applyBorder="1" applyAlignment="1" applyProtection="1">
      <alignment vertical="center"/>
    </xf>
    <xf numFmtId="0" fontId="98" fillId="24" borderId="0" xfId="0" applyFont="1" applyFill="1" applyBorder="1" applyAlignment="1" applyProtection="1">
      <alignment vertical="center"/>
    </xf>
    <xf numFmtId="10" fontId="98" fillId="25" borderId="0" xfId="50" applyNumberFormat="1" applyFont="1" applyFill="1" applyBorder="1" applyAlignment="1" applyProtection="1">
      <alignment vertical="center"/>
    </xf>
    <xf numFmtId="0" fontId="92" fillId="25" borderId="0" xfId="0" applyFont="1" applyFill="1" applyBorder="1" applyAlignment="1" applyProtection="1">
      <alignment horizontal="right" vertical="center"/>
    </xf>
    <xf numFmtId="39" fontId="92" fillId="25" borderId="0" xfId="52" applyNumberFormat="1" applyFont="1" applyFill="1" applyBorder="1" applyAlignment="1" applyProtection="1">
      <alignment vertical="center" wrapText="1"/>
    </xf>
    <xf numFmtId="171" fontId="57" fillId="0" borderId="17" xfId="52" applyFont="1" applyFill="1" applyBorder="1" applyAlignment="1" applyProtection="1">
      <alignment horizontal="center" vertical="center"/>
    </xf>
    <xf numFmtId="0" fontId="88" fillId="24" borderId="0" xfId="0" applyFont="1" applyFill="1" applyBorder="1" applyAlignment="1">
      <alignment vertical="center"/>
    </xf>
    <xf numFmtId="0" fontId="58" fillId="24" borderId="72" xfId="0" applyFont="1" applyFill="1" applyBorder="1" applyAlignment="1" applyProtection="1">
      <alignment horizontal="center" vertical="center" wrapText="1"/>
      <protection locked="0"/>
    </xf>
    <xf numFmtId="0" fontId="64" fillId="24" borderId="0" xfId="0" applyFont="1" applyFill="1" applyBorder="1" applyAlignment="1">
      <alignment horizontal="center" vertical="center" wrapText="1"/>
    </xf>
    <xf numFmtId="171" fontId="63" fillId="24" borderId="0" xfId="52" applyFont="1" applyFill="1" applyBorder="1" applyAlignment="1" applyProtection="1">
      <alignment horizontal="center" vertical="center"/>
    </xf>
    <xf numFmtId="178" fontId="65" fillId="24" borderId="0" xfId="52" applyNumberFormat="1" applyFont="1" applyFill="1" applyAlignment="1" applyProtection="1">
      <alignment vertical="center"/>
    </xf>
    <xf numFmtId="178" fontId="65" fillId="24" borderId="0" xfId="52" applyNumberFormat="1" applyFont="1" applyFill="1" applyAlignment="1" applyProtection="1">
      <alignment horizontal="center" vertical="center"/>
    </xf>
    <xf numFmtId="0" fontId="2" fillId="24" borderId="15" xfId="0" applyFont="1" applyFill="1" applyBorder="1" applyAlignment="1" applyProtection="1">
      <alignment horizontal="center" wrapText="1"/>
    </xf>
    <xf numFmtId="0" fontId="2" fillId="24" borderId="12" xfId="0" applyFont="1" applyFill="1" applyBorder="1" applyAlignment="1" applyProtection="1">
      <alignment horizontal="center" wrapText="1"/>
    </xf>
    <xf numFmtId="188" fontId="63" fillId="24" borderId="0" xfId="35" applyNumberFormat="1" applyFont="1" applyFill="1" applyBorder="1" applyAlignment="1" applyProtection="1">
      <alignment vertical="center"/>
    </xf>
    <xf numFmtId="171" fontId="63" fillId="24" borderId="0" xfId="52" applyFont="1" applyFill="1" applyBorder="1" applyAlignment="1" applyProtection="1">
      <alignment horizontal="center" vertical="center"/>
      <protection hidden="1"/>
    </xf>
    <xf numFmtId="188" fontId="100" fillId="24" borderId="0" xfId="35" applyNumberFormat="1" applyFont="1" applyFill="1" applyBorder="1" applyAlignment="1" applyProtection="1">
      <alignment vertical="center"/>
    </xf>
    <xf numFmtId="0" fontId="63" fillId="24" borderId="0" xfId="0" applyFont="1" applyFill="1" applyBorder="1" applyAlignment="1" applyProtection="1">
      <alignment vertical="center"/>
      <protection hidden="1"/>
    </xf>
    <xf numFmtId="0" fontId="100" fillId="24" borderId="0" xfId="0" applyFont="1" applyFill="1" applyBorder="1" applyAlignment="1" applyProtection="1">
      <alignment vertical="center"/>
    </xf>
    <xf numFmtId="0" fontId="100" fillId="24" borderId="0" xfId="0" applyFont="1" applyFill="1" applyBorder="1" applyAlignment="1" applyProtection="1">
      <alignment vertical="center"/>
      <protection hidden="1"/>
    </xf>
    <xf numFmtId="10" fontId="63" fillId="24" borderId="0" xfId="0" applyNumberFormat="1" applyFont="1" applyFill="1" applyBorder="1" applyAlignment="1" applyProtection="1">
      <alignment horizontal="center" vertical="center"/>
    </xf>
    <xf numFmtId="10" fontId="63" fillId="24" borderId="0" xfId="0" applyNumberFormat="1" applyFont="1" applyFill="1" applyBorder="1" applyAlignment="1" applyProtection="1">
      <alignment horizontal="center" vertical="center"/>
      <protection locked="0"/>
    </xf>
    <xf numFmtId="10" fontId="63" fillId="24" borderId="0" xfId="50" applyNumberFormat="1" applyFont="1" applyFill="1" applyBorder="1" applyAlignment="1" applyProtection="1">
      <alignment horizontal="center" vertical="center"/>
    </xf>
    <xf numFmtId="171" fontId="100" fillId="24" borderId="0" xfId="52" applyFont="1" applyFill="1" applyBorder="1" applyAlignment="1" applyProtection="1">
      <alignment vertical="center"/>
      <protection hidden="1"/>
    </xf>
    <xf numFmtId="171" fontId="100" fillId="24" borderId="0" xfId="0" applyNumberFormat="1" applyFont="1" applyFill="1" applyBorder="1" applyAlignment="1" applyProtection="1">
      <alignment vertical="center"/>
      <protection hidden="1"/>
    </xf>
    <xf numFmtId="0" fontId="100" fillId="24" borderId="0" xfId="0" applyFont="1" applyFill="1" applyBorder="1" applyProtection="1"/>
    <xf numFmtId="0" fontId="4" fillId="0" borderId="0" xfId="30" applyFill="1" applyBorder="1" applyAlignment="1" applyProtection="1">
      <alignment horizontal="center" vertical="top" wrapText="1"/>
      <protection locked="0"/>
    </xf>
    <xf numFmtId="0" fontId="4" fillId="0" borderId="0" xfId="30" applyFill="1" applyBorder="1" applyAlignment="1" applyProtection="1">
      <alignment horizontal="center" vertical="center" wrapText="1"/>
      <protection locked="0"/>
    </xf>
    <xf numFmtId="0" fontId="69" fillId="24" borderId="0" xfId="0" applyFont="1" applyFill="1" applyAlignment="1">
      <alignment vertical="center"/>
    </xf>
    <xf numFmtId="0" fontId="62" fillId="24" borderId="0" xfId="0" applyFont="1" applyFill="1" applyAlignment="1">
      <alignment vertical="center"/>
    </xf>
    <xf numFmtId="0" fontId="62" fillId="24" borderId="0" xfId="0" applyFont="1" applyFill="1" applyAlignment="1">
      <alignment vertical="center" wrapText="1"/>
    </xf>
    <xf numFmtId="0" fontId="62" fillId="24" borderId="0" xfId="0" applyFont="1" applyFill="1" applyAlignment="1">
      <alignment horizontal="left" vertical="center" wrapText="1"/>
    </xf>
    <xf numFmtId="0" fontId="62" fillId="24" borderId="0" xfId="0" applyFont="1" applyFill="1" applyAlignment="1">
      <alignment horizontal="left" vertical="center"/>
    </xf>
    <xf numFmtId="0" fontId="69" fillId="24" borderId="0" xfId="0" applyFont="1" applyFill="1" applyAlignment="1">
      <alignment horizontal="left" vertical="center"/>
    </xf>
    <xf numFmtId="0" fontId="62" fillId="24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 textRotation="45" wrapText="1"/>
    </xf>
    <xf numFmtId="0" fontId="106" fillId="0" borderId="0" xfId="0" applyFont="1" applyFill="1" applyBorder="1" applyAlignment="1" applyProtection="1">
      <alignment vertical="center"/>
    </xf>
    <xf numFmtId="0" fontId="107" fillId="0" borderId="0" xfId="0" applyFont="1" applyFill="1" applyBorder="1" applyAlignment="1" applyProtection="1">
      <alignment vertical="center"/>
    </xf>
    <xf numFmtId="0" fontId="108" fillId="0" borderId="0" xfId="0" applyFont="1" applyFill="1" applyBorder="1" applyAlignment="1" applyProtection="1">
      <alignment horizontal="center" vertical="center"/>
    </xf>
    <xf numFmtId="0" fontId="107" fillId="0" borderId="0" xfId="0" applyFont="1" applyFill="1" applyBorder="1" applyAlignment="1" applyProtection="1">
      <alignment horizontal="left" vertical="center"/>
    </xf>
    <xf numFmtId="181" fontId="106" fillId="0" borderId="0" xfId="0" applyNumberFormat="1" applyFont="1" applyFill="1" applyBorder="1" applyAlignment="1" applyProtection="1">
      <alignment horizontal="center" vertical="center" textRotation="45" wrapText="1"/>
    </xf>
    <xf numFmtId="49" fontId="109" fillId="0" borderId="0" xfId="0" applyNumberFormat="1" applyFont="1" applyFill="1" applyBorder="1" applyAlignment="1" applyProtection="1">
      <alignment horizontal="center" vertical="center"/>
    </xf>
    <xf numFmtId="0" fontId="107" fillId="0" borderId="0" xfId="0" applyFont="1" applyFill="1" applyBorder="1" applyAlignment="1" applyProtection="1">
      <alignment horizontal="center" vertical="center"/>
    </xf>
    <xf numFmtId="0" fontId="110" fillId="0" borderId="80" xfId="0" applyFont="1" applyFill="1" applyBorder="1" applyAlignment="1" applyProtection="1">
      <alignment vertical="center"/>
    </xf>
    <xf numFmtId="0" fontId="107" fillId="0" borderId="81" xfId="0" applyFont="1" applyFill="1" applyBorder="1" applyAlignment="1" applyProtection="1">
      <alignment vertical="center"/>
    </xf>
    <xf numFmtId="0" fontId="110" fillId="0" borderId="81" xfId="0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>
      <alignment horizontal="center" vertical="center"/>
    </xf>
    <xf numFmtId="171" fontId="3" fillId="0" borderId="82" xfId="52" applyFont="1" applyFill="1" applyBorder="1" applyAlignment="1" applyProtection="1">
      <alignment vertical="center"/>
    </xf>
    <xf numFmtId="0" fontId="58" fillId="25" borderId="11" xfId="0" applyFont="1" applyFill="1" applyBorder="1" applyAlignment="1" applyProtection="1">
      <alignment horizontal="center" vertical="center" wrapText="1"/>
    </xf>
    <xf numFmtId="0" fontId="71" fillId="25" borderId="11" xfId="0" applyFont="1" applyFill="1" applyBorder="1" applyAlignment="1" applyProtection="1">
      <alignment horizontal="center" vertical="center" wrapText="1"/>
    </xf>
    <xf numFmtId="2" fontId="58" fillId="25" borderId="11" xfId="0" applyNumberFormat="1" applyFont="1" applyFill="1" applyBorder="1" applyAlignment="1" applyProtection="1">
      <alignment horizontal="center" vertical="center" wrapText="1"/>
    </xf>
    <xf numFmtId="10" fontId="58" fillId="25" borderId="11" xfId="0" applyNumberFormat="1" applyFont="1" applyFill="1" applyBorder="1" applyAlignment="1" applyProtection="1">
      <alignment horizontal="center" vertical="center" wrapText="1"/>
    </xf>
    <xf numFmtId="0" fontId="58" fillId="25" borderId="11" xfId="0" applyNumberFormat="1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 vertical="center"/>
    </xf>
    <xf numFmtId="171" fontId="88" fillId="24" borderId="79" xfId="52" applyFont="1" applyFill="1" applyBorder="1" applyAlignment="1" applyProtection="1">
      <alignment horizontal="center" vertical="center"/>
    </xf>
    <xf numFmtId="171" fontId="88" fillId="24" borderId="79" xfId="52" applyNumberFormat="1" applyFont="1" applyFill="1" applyBorder="1" applyAlignment="1" applyProtection="1">
      <alignment horizontal="center" vertical="center"/>
    </xf>
    <xf numFmtId="0" fontId="88" fillId="25" borderId="1" xfId="0" applyFont="1" applyFill="1" applyBorder="1" applyAlignment="1" applyProtection="1">
      <alignment horizontal="left" vertical="center" wrapText="1"/>
    </xf>
    <xf numFmtId="171" fontId="88" fillId="24" borderId="1" xfId="52" applyFont="1" applyFill="1" applyBorder="1" applyAlignment="1" applyProtection="1">
      <alignment vertical="center"/>
    </xf>
    <xf numFmtId="1" fontId="88" fillId="24" borderId="11" xfId="0" applyNumberFormat="1" applyFont="1" applyFill="1" applyBorder="1" applyAlignment="1" applyProtection="1">
      <alignment horizontal="center" vertical="center"/>
    </xf>
    <xf numFmtId="10" fontId="51" fillId="24" borderId="11" xfId="52" applyNumberFormat="1" applyFont="1" applyFill="1" applyBorder="1" applyAlignment="1" applyProtection="1">
      <alignment horizontal="center" vertical="center"/>
      <protection locked="0"/>
    </xf>
    <xf numFmtId="0" fontId="72" fillId="25" borderId="0" xfId="37" applyFont="1" applyFill="1" applyBorder="1" applyAlignment="1" applyProtection="1">
      <alignment horizontal="left" vertical="center" wrapText="1"/>
    </xf>
    <xf numFmtId="10" fontId="59" fillId="26" borderId="1" xfId="0" applyNumberFormat="1" applyFont="1" applyFill="1" applyBorder="1" applyAlignment="1" applyProtection="1">
      <alignment horizontal="center" vertical="center" wrapText="1"/>
      <protection locked="0"/>
    </xf>
    <xf numFmtId="10" fontId="59" fillId="26" borderId="57" xfId="37" applyNumberFormat="1" applyFont="1" applyFill="1" applyBorder="1" applyAlignment="1" applyProtection="1">
      <alignment horizontal="center" vertical="center" wrapText="1"/>
      <protection locked="0"/>
    </xf>
    <xf numFmtId="2" fontId="59" fillId="26" borderId="57" xfId="37" applyNumberFormat="1" applyFont="1" applyFill="1" applyBorder="1" applyAlignment="1" applyProtection="1">
      <alignment horizontal="center" vertical="center" wrapText="1"/>
      <protection locked="0"/>
    </xf>
    <xf numFmtId="2" fontId="93" fillId="25" borderId="18" xfId="37" applyNumberFormat="1" applyFont="1" applyFill="1" applyBorder="1" applyAlignment="1" applyProtection="1">
      <alignment horizontal="center" vertical="top"/>
    </xf>
    <xf numFmtId="0" fontId="133" fillId="0" borderId="0" xfId="0" applyFont="1" applyFill="1" applyBorder="1" applyAlignment="1" applyProtection="1">
      <alignment vertical="center"/>
    </xf>
    <xf numFmtId="171" fontId="133" fillId="0" borderId="0" xfId="52" applyFont="1" applyFill="1" applyBorder="1" applyAlignment="1" applyProtection="1">
      <alignment vertical="center"/>
    </xf>
    <xf numFmtId="4" fontId="134" fillId="0" borderId="0" xfId="0" applyNumberFormat="1" applyFont="1" applyFill="1" applyBorder="1" applyAlignment="1" applyProtection="1">
      <alignment horizontal="center" vertical="center" wrapText="1"/>
    </xf>
    <xf numFmtId="0" fontId="134" fillId="0" borderId="0" xfId="0" applyFont="1" applyFill="1" applyBorder="1" applyAlignment="1" applyProtection="1">
      <alignment horizontal="center" vertical="center" textRotation="90" wrapText="1"/>
    </xf>
    <xf numFmtId="0" fontId="134" fillId="0" borderId="0" xfId="0" applyFont="1" applyFill="1" applyBorder="1" applyAlignment="1" applyProtection="1">
      <alignment horizontal="center" vertical="center" textRotation="45" wrapText="1"/>
    </xf>
    <xf numFmtId="49" fontId="135" fillId="0" borderId="0" xfId="0" applyNumberFormat="1" applyFont="1" applyFill="1" applyBorder="1" applyAlignment="1" applyProtection="1">
      <alignment horizontal="center" vertical="center"/>
    </xf>
    <xf numFmtId="171" fontId="136" fillId="0" borderId="0" xfId="0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 applyProtection="1">
      <alignment vertical="center"/>
    </xf>
    <xf numFmtId="0" fontId="135" fillId="24" borderId="0" xfId="0" applyFont="1" applyFill="1" applyBorder="1" applyAlignment="1" applyProtection="1">
      <alignment vertical="center"/>
    </xf>
    <xf numFmtId="49" fontId="135" fillId="24" borderId="0" xfId="0" applyNumberFormat="1" applyFont="1" applyFill="1" applyAlignment="1" applyProtection="1">
      <alignment horizontal="center" vertical="center"/>
    </xf>
    <xf numFmtId="0" fontId="135" fillId="24" borderId="0" xfId="0" applyFont="1" applyFill="1" applyAlignment="1" applyProtection="1">
      <alignment vertical="center"/>
    </xf>
    <xf numFmtId="171" fontId="135" fillId="24" borderId="0" xfId="52" applyFont="1" applyFill="1" applyBorder="1" applyAlignment="1" applyProtection="1">
      <alignment vertical="center"/>
      <protection hidden="1"/>
    </xf>
    <xf numFmtId="2" fontId="7" fillId="24" borderId="0" xfId="0" applyNumberFormat="1" applyFont="1" applyFill="1" applyBorder="1" applyAlignment="1" applyProtection="1">
      <alignment horizontal="center" vertical="center"/>
    </xf>
    <xf numFmtId="2" fontId="7" fillId="24" borderId="0" xfId="0" applyNumberFormat="1" applyFont="1" applyFill="1" applyAlignment="1" applyProtection="1">
      <alignment horizontal="center" vertical="center"/>
    </xf>
    <xf numFmtId="178" fontId="88" fillId="24" borderId="53" xfId="52" applyNumberFormat="1" applyFont="1" applyFill="1" applyBorder="1" applyAlignment="1" applyProtection="1">
      <alignment horizontal="center" vertical="center"/>
    </xf>
    <xf numFmtId="178" fontId="54" fillId="0" borderId="11" xfId="0" applyNumberFormat="1" applyFont="1" applyFill="1" applyBorder="1" applyAlignment="1" applyProtection="1">
      <alignment vertical="center" wrapText="1"/>
      <protection locked="0"/>
    </xf>
    <xf numFmtId="181" fontId="7" fillId="24" borderId="0" xfId="0" applyNumberFormat="1" applyFont="1" applyFill="1" applyAlignment="1" applyProtection="1">
      <alignment vertical="center"/>
    </xf>
    <xf numFmtId="0" fontId="137" fillId="24" borderId="0" xfId="0" applyFont="1" applyFill="1" applyAlignment="1" applyProtection="1">
      <alignment vertical="center"/>
    </xf>
    <xf numFmtId="0" fontId="138" fillId="24" borderId="0" xfId="0" applyFont="1" applyFill="1" applyBorder="1" applyAlignment="1" applyProtection="1">
      <alignment horizontal="left" vertical="center"/>
    </xf>
    <xf numFmtId="2" fontId="138" fillId="24" borderId="0" xfId="0" applyNumberFormat="1" applyFont="1" applyFill="1" applyBorder="1" applyAlignment="1" applyProtection="1">
      <alignment horizontal="left" vertical="center"/>
    </xf>
    <xf numFmtId="2" fontId="138" fillId="24" borderId="0" xfId="0" applyNumberFormat="1" applyFont="1" applyFill="1" applyBorder="1" applyAlignment="1" applyProtection="1">
      <alignment horizontal="center" vertical="center"/>
    </xf>
    <xf numFmtId="186" fontId="137" fillId="24" borderId="0" xfId="0" applyNumberFormat="1" applyFont="1" applyFill="1" applyBorder="1" applyAlignment="1" applyProtection="1">
      <alignment horizontal="center" vertical="center"/>
    </xf>
    <xf numFmtId="1" fontId="138" fillId="24" borderId="0" xfId="0" applyNumberFormat="1" applyFont="1" applyFill="1" applyBorder="1" applyAlignment="1" applyProtection="1">
      <alignment horizontal="center" vertical="center"/>
    </xf>
    <xf numFmtId="171" fontId="138" fillId="24" borderId="0" xfId="52" applyFont="1" applyFill="1" applyBorder="1" applyAlignment="1" applyProtection="1">
      <alignment horizontal="center" vertical="center"/>
    </xf>
    <xf numFmtId="9" fontId="138" fillId="24" borderId="0" xfId="50" applyFont="1" applyFill="1" applyBorder="1" applyAlignment="1" applyProtection="1">
      <alignment horizontal="center" vertical="center"/>
    </xf>
    <xf numFmtId="171" fontId="138" fillId="24" borderId="0" xfId="52" applyFont="1" applyFill="1" applyBorder="1" applyAlignment="1" applyProtection="1">
      <alignment vertical="center"/>
    </xf>
    <xf numFmtId="1" fontId="138" fillId="24" borderId="0" xfId="52" applyNumberFormat="1" applyFont="1" applyFill="1" applyBorder="1" applyAlignment="1" applyProtection="1">
      <alignment horizontal="center" vertical="center"/>
    </xf>
    <xf numFmtId="0" fontId="137" fillId="24" borderId="0" xfId="0" applyFont="1" applyFill="1" applyBorder="1" applyAlignment="1" applyProtection="1">
      <alignment vertical="center"/>
    </xf>
    <xf numFmtId="10" fontId="138" fillId="24" borderId="0" xfId="52" applyNumberFormat="1" applyFont="1" applyFill="1" applyBorder="1" applyAlignment="1" applyProtection="1">
      <alignment horizontal="center" vertical="center"/>
    </xf>
    <xf numFmtId="178" fontId="137" fillId="24" borderId="0" xfId="52" applyNumberFormat="1" applyFont="1" applyFill="1" applyAlignment="1" applyProtection="1">
      <alignment vertical="center"/>
    </xf>
    <xf numFmtId="0" fontId="139" fillId="0" borderId="0" xfId="0" applyFont="1" applyFill="1" applyBorder="1" applyAlignment="1" applyProtection="1">
      <alignment vertical="center"/>
    </xf>
    <xf numFmtId="171" fontId="139" fillId="0" borderId="0" xfId="52" applyFont="1" applyFill="1" applyBorder="1" applyAlignment="1" applyProtection="1">
      <alignment vertical="center"/>
    </xf>
    <xf numFmtId="0" fontId="139" fillId="24" borderId="0" xfId="0" applyFont="1" applyFill="1" applyBorder="1" applyAlignment="1" applyProtection="1">
      <alignment vertical="center"/>
    </xf>
    <xf numFmtId="171" fontId="139" fillId="24" borderId="0" xfId="52" applyFont="1" applyFill="1" applyBorder="1" applyAlignment="1" applyProtection="1">
      <alignment vertical="center"/>
    </xf>
    <xf numFmtId="0" fontId="139" fillId="0" borderId="0" xfId="0" applyFont="1" applyFill="1" applyBorder="1" applyAlignment="1" applyProtection="1">
      <alignment horizontal="center" vertical="center"/>
    </xf>
    <xf numFmtId="1" fontId="139" fillId="0" borderId="0" xfId="0" applyNumberFormat="1" applyFont="1" applyFill="1" applyBorder="1" applyAlignment="1" applyProtection="1">
      <alignment horizontal="center" vertical="center"/>
    </xf>
    <xf numFmtId="1" fontId="139" fillId="24" borderId="0" xfId="52" applyNumberFormat="1" applyFont="1" applyFill="1" applyBorder="1" applyAlignment="1" applyProtection="1">
      <alignment horizontal="center" vertical="center"/>
    </xf>
    <xf numFmtId="171" fontId="139" fillId="24" borderId="0" xfId="52" applyFont="1" applyFill="1" applyBorder="1" applyAlignment="1" applyProtection="1">
      <alignment horizontal="center" vertical="center"/>
    </xf>
    <xf numFmtId="4" fontId="138" fillId="0" borderId="0" xfId="0" applyNumberFormat="1" applyFont="1" applyFill="1" applyBorder="1" applyAlignment="1" applyProtection="1">
      <alignment horizontal="center" vertical="center" textRotation="90" wrapText="1"/>
    </xf>
    <xf numFmtId="0" fontId="138" fillId="0" borderId="0" xfId="0" applyFont="1" applyFill="1" applyBorder="1" applyAlignment="1" applyProtection="1">
      <alignment horizontal="center" vertical="center" textRotation="90" wrapText="1"/>
    </xf>
    <xf numFmtId="171" fontId="138" fillId="0" borderId="0" xfId="52" applyFont="1" applyFill="1" applyBorder="1" applyAlignment="1" applyProtection="1">
      <alignment horizontal="center" vertical="center" textRotation="45" wrapText="1"/>
    </xf>
    <xf numFmtId="0" fontId="138" fillId="0" borderId="0" xfId="0" applyFont="1" applyFill="1" applyBorder="1" applyAlignment="1" applyProtection="1">
      <alignment horizontal="center" vertical="center" textRotation="45" wrapText="1"/>
    </xf>
    <xf numFmtId="0" fontId="138" fillId="24" borderId="0" xfId="0" applyFont="1" applyFill="1" applyBorder="1" applyAlignment="1" applyProtection="1">
      <alignment horizontal="center" vertical="center" textRotation="45" wrapText="1"/>
    </xf>
    <xf numFmtId="171" fontId="138" fillId="24" borderId="0" xfId="52" applyFont="1" applyFill="1" applyBorder="1" applyAlignment="1" applyProtection="1">
      <alignment horizontal="center" vertical="center" textRotation="45" wrapText="1"/>
    </xf>
    <xf numFmtId="4" fontId="138" fillId="0" borderId="0" xfId="0" applyNumberFormat="1" applyFont="1" applyFill="1" applyBorder="1" applyAlignment="1" applyProtection="1">
      <alignment horizontal="center" vertical="center" textRotation="45" wrapText="1"/>
    </xf>
    <xf numFmtId="0" fontId="137" fillId="0" borderId="0" xfId="0" applyNumberFormat="1" applyFont="1" applyFill="1" applyBorder="1" applyAlignment="1" applyProtection="1">
      <alignment horizontal="center" vertical="center"/>
    </xf>
    <xf numFmtId="49" fontId="137" fillId="0" borderId="0" xfId="0" applyNumberFormat="1" applyFont="1" applyFill="1" applyBorder="1" applyAlignment="1" applyProtection="1">
      <alignment horizontal="center" vertical="center"/>
    </xf>
    <xf numFmtId="171" fontId="137" fillId="0" borderId="0" xfId="52" applyFont="1" applyFill="1" applyBorder="1" applyAlignment="1" applyProtection="1">
      <alignment horizontal="center" vertical="center"/>
    </xf>
    <xf numFmtId="49" fontId="137" fillId="24" borderId="0" xfId="0" applyNumberFormat="1" applyFont="1" applyFill="1" applyBorder="1" applyAlignment="1" applyProtection="1">
      <alignment horizontal="center" vertical="center"/>
    </xf>
    <xf numFmtId="171" fontId="137" fillId="24" borderId="0" xfId="52" applyFont="1" applyFill="1" applyBorder="1" applyAlignment="1" applyProtection="1">
      <alignment horizontal="center" vertical="center"/>
    </xf>
    <xf numFmtId="171" fontId="140" fillId="0" borderId="0" xfId="52" quotePrefix="1" applyNumberFormat="1" applyFont="1" applyFill="1" applyBorder="1" applyAlignment="1" applyProtection="1">
      <alignment horizontal="center" vertical="center"/>
    </xf>
    <xf numFmtId="0" fontId="140" fillId="0" borderId="0" xfId="0" applyFont="1" applyFill="1" applyBorder="1" applyAlignment="1" applyProtection="1">
      <alignment vertical="center"/>
    </xf>
    <xf numFmtId="171" fontId="140" fillId="0" borderId="0" xfId="52" quotePrefix="1" applyFont="1" applyFill="1" applyBorder="1" applyAlignment="1" applyProtection="1">
      <alignment horizontal="center" vertical="center"/>
    </xf>
    <xf numFmtId="171" fontId="140" fillId="0" borderId="0" xfId="52" applyFont="1" applyFill="1" applyBorder="1" applyAlignment="1" applyProtection="1">
      <alignment vertical="center"/>
    </xf>
    <xf numFmtId="0" fontId="140" fillId="24" borderId="0" xfId="0" applyFont="1" applyFill="1" applyBorder="1" applyAlignment="1" applyProtection="1">
      <alignment vertical="center"/>
    </xf>
    <xf numFmtId="171" fontId="140" fillId="24" borderId="0" xfId="52" applyFont="1" applyFill="1" applyBorder="1" applyAlignment="1" applyProtection="1">
      <alignment vertical="center"/>
    </xf>
    <xf numFmtId="1" fontId="140" fillId="24" borderId="0" xfId="0" applyNumberFormat="1" applyFont="1" applyFill="1" applyBorder="1" applyAlignment="1" applyProtection="1">
      <alignment horizontal="center" vertical="center"/>
    </xf>
    <xf numFmtId="2" fontId="140" fillId="0" borderId="0" xfId="0" applyNumberFormat="1" applyFont="1" applyFill="1" applyBorder="1" applyAlignment="1" applyProtection="1">
      <alignment horizontal="center" vertical="center"/>
    </xf>
    <xf numFmtId="0" fontId="140" fillId="0" borderId="0" xfId="0" applyFont="1" applyFill="1" applyBorder="1" applyAlignment="1" applyProtection="1">
      <alignment horizontal="center" vertical="center"/>
    </xf>
    <xf numFmtId="171" fontId="140" fillId="0" borderId="0" xfId="0" applyNumberFormat="1" applyFont="1" applyFill="1" applyBorder="1" applyAlignment="1" applyProtection="1">
      <alignment vertical="center"/>
    </xf>
    <xf numFmtId="171" fontId="140" fillId="0" borderId="0" xfId="0" applyNumberFormat="1" applyFont="1" applyFill="1" applyBorder="1" applyAlignment="1" applyProtection="1">
      <alignment horizontal="center" vertical="center"/>
    </xf>
    <xf numFmtId="171" fontId="139" fillId="0" borderId="0" xfId="52" applyFont="1" applyFill="1" applyBorder="1" applyAlignment="1" applyProtection="1">
      <alignment horizontal="center" vertical="center"/>
    </xf>
    <xf numFmtId="0" fontId="47" fillId="25" borderId="1" xfId="43" applyFont="1" applyFill="1" applyBorder="1" applyAlignment="1" applyProtection="1">
      <alignment horizontal="left" vertical="center" wrapText="1"/>
      <protection locked="0"/>
    </xf>
    <xf numFmtId="0" fontId="53" fillId="25" borderId="1" xfId="41" applyFont="1" applyFill="1" applyBorder="1" applyAlignment="1" applyProtection="1">
      <alignment horizontal="center" vertical="center" wrapText="1"/>
      <protection locked="0"/>
    </xf>
    <xf numFmtId="0" fontId="47" fillId="25" borderId="1" xfId="42" applyFont="1" applyFill="1" applyBorder="1" applyAlignment="1" applyProtection="1">
      <alignment horizontal="left" vertical="center" wrapText="1"/>
      <protection locked="0"/>
    </xf>
    <xf numFmtId="49" fontId="47" fillId="25" borderId="1" xfId="42" applyNumberFormat="1" applyFont="1" applyFill="1" applyBorder="1" applyAlignment="1" applyProtection="1">
      <alignment horizontal="center" vertical="center"/>
      <protection locked="0"/>
    </xf>
    <xf numFmtId="4" fontId="47" fillId="25" borderId="1" xfId="42" applyNumberFormat="1" applyFont="1" applyFill="1" applyBorder="1" applyAlignment="1" applyProtection="1">
      <alignment horizontal="center" vertical="center"/>
      <protection locked="0"/>
    </xf>
    <xf numFmtId="0" fontId="47" fillId="25" borderId="1" xfId="40" applyFont="1" applyFill="1" applyBorder="1" applyAlignment="1" applyProtection="1">
      <alignment horizontal="left" vertical="center" wrapText="1"/>
      <protection locked="0"/>
    </xf>
    <xf numFmtId="49" fontId="47" fillId="25" borderId="1" xfId="40" applyNumberFormat="1" applyFont="1" applyFill="1" applyBorder="1" applyAlignment="1" applyProtection="1">
      <alignment horizontal="center" vertical="center"/>
      <protection locked="0"/>
    </xf>
    <xf numFmtId="4" fontId="47" fillId="25" borderId="1" xfId="40" applyNumberFormat="1" applyFont="1" applyFill="1" applyBorder="1" applyAlignment="1" applyProtection="1">
      <alignment horizontal="center" vertical="center"/>
      <protection locked="0"/>
    </xf>
    <xf numFmtId="0" fontId="57" fillId="0" borderId="47" xfId="45" applyFont="1" applyFill="1" applyBorder="1" applyAlignment="1" applyProtection="1">
      <alignment vertical="top" wrapText="1"/>
      <protection locked="0"/>
    </xf>
    <xf numFmtId="1" fontId="57" fillId="0" borderId="48" xfId="45" applyNumberFormat="1" applyFont="1" applyFill="1" applyBorder="1" applyAlignment="1" applyProtection="1">
      <alignment horizontal="center" vertical="center"/>
      <protection locked="0"/>
    </xf>
    <xf numFmtId="4" fontId="57" fillId="0" borderId="48" xfId="45" applyNumberFormat="1" applyFont="1" applyFill="1" applyBorder="1" applyAlignment="1" applyProtection="1">
      <alignment horizontal="center" vertical="center"/>
      <protection locked="0"/>
    </xf>
    <xf numFmtId="1" fontId="57" fillId="0" borderId="49" xfId="44" applyNumberFormat="1" applyFont="1" applyFill="1" applyBorder="1" applyAlignment="1" applyProtection="1">
      <alignment horizontal="center" vertical="center"/>
      <protection locked="0"/>
    </xf>
    <xf numFmtId="3" fontId="57" fillId="0" borderId="18" xfId="46" applyNumberFormat="1" applyFont="1" applyFill="1" applyBorder="1" applyAlignment="1" applyProtection="1">
      <alignment horizontal="center" vertical="center"/>
      <protection locked="0"/>
    </xf>
    <xf numFmtId="179" fontId="57" fillId="0" borderId="18" xfId="46" applyNumberFormat="1" applyFont="1" applyFill="1" applyBorder="1" applyAlignment="1" applyProtection="1">
      <alignment horizontal="center" vertical="center"/>
      <protection locked="0"/>
    </xf>
    <xf numFmtId="0" fontId="57" fillId="0" borderId="48" xfId="47" applyFont="1" applyFill="1" applyBorder="1" applyAlignment="1" applyProtection="1">
      <alignment vertical="center" wrapText="1"/>
      <protection locked="0"/>
    </xf>
    <xf numFmtId="1" fontId="57" fillId="0" borderId="48" xfId="47" applyNumberFormat="1" applyFont="1" applyFill="1" applyBorder="1" applyAlignment="1" applyProtection="1">
      <alignment horizontal="center" vertical="center"/>
      <protection locked="0"/>
    </xf>
    <xf numFmtId="0" fontId="47" fillId="0" borderId="18" xfId="48" applyFont="1" applyFill="1" applyBorder="1" applyAlignment="1" applyProtection="1">
      <alignment horizontal="left" vertical="center" wrapText="1"/>
      <protection locked="0"/>
    </xf>
    <xf numFmtId="39" fontId="53" fillId="25" borderId="18" xfId="0" applyNumberFormat="1" applyFont="1" applyFill="1" applyBorder="1" applyAlignment="1" applyProtection="1">
      <alignment horizontal="center" vertical="center" wrapText="1"/>
      <protection locked="0"/>
    </xf>
    <xf numFmtId="1" fontId="92" fillId="24" borderId="0" xfId="0" applyNumberFormat="1" applyFont="1" applyFill="1" applyBorder="1" applyAlignment="1" applyProtection="1">
      <alignment vertical="center" wrapText="1"/>
      <protection locked="0"/>
    </xf>
    <xf numFmtId="0" fontId="58" fillId="25" borderId="19" xfId="0" applyFont="1" applyFill="1" applyBorder="1" applyAlignment="1" applyProtection="1">
      <alignment horizontal="center" vertical="center" wrapText="1"/>
    </xf>
    <xf numFmtId="2" fontId="58" fillId="25" borderId="19" xfId="0" applyNumberFormat="1" applyFont="1" applyFill="1" applyBorder="1" applyAlignment="1" applyProtection="1">
      <alignment horizontal="center" vertical="center" wrapText="1"/>
    </xf>
    <xf numFmtId="0" fontId="58" fillId="0" borderId="17" xfId="0" applyFont="1" applyFill="1" applyBorder="1" applyAlignment="1" applyProtection="1">
      <alignment horizontal="center" vertical="center" wrapText="1"/>
    </xf>
    <xf numFmtId="185" fontId="75" fillId="25" borderId="20" xfId="0" applyNumberFormat="1" applyFont="1" applyFill="1" applyBorder="1" applyAlignment="1" applyProtection="1">
      <alignment vertical="center" wrapText="1"/>
    </xf>
    <xf numFmtId="167" fontId="75" fillId="25" borderId="20" xfId="0" applyNumberFormat="1" applyFont="1" applyFill="1" applyBorder="1" applyAlignment="1" applyProtection="1">
      <alignment vertical="center" wrapText="1"/>
    </xf>
    <xf numFmtId="171" fontId="53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24" borderId="83" xfId="0" applyFont="1" applyFill="1" applyBorder="1" applyAlignment="1" applyProtection="1">
      <alignment horizontal="left" vertical="center" wrapText="1"/>
      <protection locked="0"/>
    </xf>
    <xf numFmtId="0" fontId="53" fillId="24" borderId="84" xfId="0" applyFont="1" applyFill="1" applyBorder="1" applyAlignment="1" applyProtection="1">
      <alignment horizontal="left" vertical="center" wrapText="1"/>
      <protection locked="0"/>
    </xf>
    <xf numFmtId="0" fontId="53" fillId="24" borderId="85" xfId="0" applyFont="1" applyFill="1" applyBorder="1" applyAlignment="1" applyProtection="1">
      <alignment horizontal="left" vertical="center" wrapText="1"/>
      <protection locked="0"/>
    </xf>
    <xf numFmtId="0" fontId="62" fillId="24" borderId="83" xfId="0" applyFont="1" applyFill="1" applyBorder="1" applyAlignment="1" applyProtection="1">
      <alignment horizontal="left" vertical="center" wrapText="1"/>
      <protection locked="0"/>
    </xf>
    <xf numFmtId="0" fontId="62" fillId="24" borderId="84" xfId="0" applyFont="1" applyFill="1" applyBorder="1" applyAlignment="1" applyProtection="1">
      <alignment horizontal="left" vertical="center" wrapText="1"/>
      <protection locked="0"/>
    </xf>
    <xf numFmtId="0" fontId="62" fillId="24" borderId="85" xfId="0" applyFont="1" applyFill="1" applyBorder="1" applyAlignment="1" applyProtection="1">
      <alignment horizontal="left" vertical="center" wrapText="1"/>
      <protection locked="0"/>
    </xf>
    <xf numFmtId="171" fontId="62" fillId="24" borderId="83" xfId="52" applyFont="1" applyFill="1" applyBorder="1" applyAlignment="1" applyProtection="1">
      <alignment horizontal="center" vertical="center"/>
      <protection locked="0"/>
    </xf>
    <xf numFmtId="171" fontId="62" fillId="24" borderId="84" xfId="52" applyFont="1" applyFill="1" applyBorder="1" applyAlignment="1" applyProtection="1">
      <alignment horizontal="center" vertical="center"/>
      <protection locked="0"/>
    </xf>
    <xf numFmtId="171" fontId="62" fillId="24" borderId="85" xfId="52" applyFont="1" applyFill="1" applyBorder="1" applyAlignment="1" applyProtection="1">
      <alignment horizontal="center" vertical="center"/>
      <protection locked="0"/>
    </xf>
    <xf numFmtId="0" fontId="62" fillId="24" borderId="83" xfId="0" applyFont="1" applyFill="1" applyBorder="1" applyAlignment="1" applyProtection="1">
      <alignment horizontal="center" vertical="center"/>
      <protection locked="0"/>
    </xf>
    <xf numFmtId="0" fontId="62" fillId="24" borderId="84" xfId="0" applyFont="1" applyFill="1" applyBorder="1" applyAlignment="1" applyProtection="1">
      <alignment horizontal="center" vertical="center"/>
      <protection locked="0"/>
    </xf>
    <xf numFmtId="0" fontId="62" fillId="24" borderId="85" xfId="0" applyFont="1" applyFill="1" applyBorder="1" applyAlignment="1" applyProtection="1">
      <alignment horizontal="center" vertical="center"/>
      <protection locked="0"/>
    </xf>
    <xf numFmtId="0" fontId="53" fillId="24" borderId="83" xfId="40" applyFont="1" applyFill="1" applyBorder="1" applyAlignment="1" applyProtection="1">
      <alignment horizontal="left" vertical="center" wrapText="1"/>
      <protection locked="0"/>
    </xf>
    <xf numFmtId="0" fontId="53" fillId="24" borderId="84" xfId="40" applyFont="1" applyFill="1" applyBorder="1" applyAlignment="1" applyProtection="1">
      <alignment horizontal="left" vertical="center" wrapText="1"/>
      <protection locked="0"/>
    </xf>
    <xf numFmtId="0" fontId="53" fillId="24" borderId="85" xfId="40" applyFont="1" applyFill="1" applyBorder="1" applyAlignment="1" applyProtection="1">
      <alignment horizontal="left" vertical="center" wrapText="1"/>
      <protection locked="0"/>
    </xf>
    <xf numFmtId="0" fontId="53" fillId="24" borderId="83" xfId="0" applyFont="1" applyFill="1" applyBorder="1" applyAlignment="1" applyProtection="1">
      <alignment horizontal="center" vertical="center"/>
      <protection locked="0"/>
    </xf>
    <xf numFmtId="0" fontId="53" fillId="24" borderId="84" xfId="0" applyFont="1" applyFill="1" applyBorder="1" applyAlignment="1" applyProtection="1">
      <alignment horizontal="center" vertical="center"/>
      <protection locked="0"/>
    </xf>
    <xf numFmtId="0" fontId="53" fillId="24" borderId="85" xfId="0" applyFont="1" applyFill="1" applyBorder="1" applyAlignment="1" applyProtection="1">
      <alignment horizontal="center" vertical="center"/>
      <protection locked="0"/>
    </xf>
    <xf numFmtId="0" fontId="68" fillId="24" borderId="13" xfId="0" applyFont="1" applyFill="1" applyBorder="1" applyAlignment="1" applyProtection="1">
      <alignment horizontal="center" vertical="center"/>
    </xf>
    <xf numFmtId="0" fontId="62" fillId="24" borderId="32" xfId="0" applyFont="1" applyFill="1" applyBorder="1" applyAlignment="1" applyProtection="1">
      <alignment horizontal="center" vertical="center"/>
    </xf>
    <xf numFmtId="0" fontId="62" fillId="24" borderId="33" xfId="0" applyFont="1" applyFill="1" applyBorder="1" applyAlignment="1" applyProtection="1">
      <alignment horizontal="center" vertical="center"/>
    </xf>
    <xf numFmtId="0" fontId="62" fillId="24" borderId="39" xfId="0" applyFont="1" applyFill="1" applyBorder="1" applyAlignment="1" applyProtection="1">
      <alignment horizontal="center" vertical="center"/>
    </xf>
    <xf numFmtId="0" fontId="69" fillId="24" borderId="13" xfId="0" applyFont="1" applyFill="1" applyBorder="1" applyAlignment="1" applyProtection="1">
      <alignment horizontal="center" vertical="center"/>
    </xf>
    <xf numFmtId="0" fontId="69" fillId="24" borderId="0" xfId="0" applyFont="1" applyFill="1" applyBorder="1" applyAlignment="1" applyProtection="1">
      <alignment horizontal="center" vertical="center"/>
    </xf>
    <xf numFmtId="0" fontId="68" fillId="24" borderId="0" xfId="0" applyFont="1" applyFill="1" applyBorder="1" applyAlignment="1" applyProtection="1">
      <alignment horizontal="center" vertical="center"/>
    </xf>
    <xf numFmtId="0" fontId="51" fillId="0" borderId="22" xfId="0" applyFont="1" applyFill="1" applyBorder="1" applyAlignment="1" applyProtection="1">
      <alignment horizontal="center" vertical="center" wrapText="1"/>
    </xf>
    <xf numFmtId="0" fontId="51" fillId="0" borderId="23" xfId="0" applyFont="1" applyFill="1" applyBorder="1" applyAlignment="1" applyProtection="1">
      <alignment horizontal="center" vertical="center" wrapText="1"/>
    </xf>
    <xf numFmtId="0" fontId="51" fillId="0" borderId="34" xfId="0" applyFont="1" applyFill="1" applyBorder="1" applyAlignment="1" applyProtection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2" fontId="53" fillId="0" borderId="0" xfId="0" applyNumberFormat="1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3" fillId="0" borderId="22" xfId="0" applyFont="1" applyFill="1" applyBorder="1" applyAlignment="1" applyProtection="1">
      <alignment horizontal="center" vertical="center"/>
      <protection locked="0"/>
    </xf>
    <xf numFmtId="0" fontId="53" fillId="0" borderId="34" xfId="0" applyFont="1" applyFill="1" applyBorder="1" applyAlignment="1" applyProtection="1">
      <alignment horizontal="center" vertical="center"/>
      <protection locked="0"/>
    </xf>
    <xf numFmtId="10" fontId="47" fillId="0" borderId="83" xfId="0" applyNumberFormat="1" applyFont="1" applyFill="1" applyBorder="1" applyAlignment="1" applyProtection="1">
      <alignment horizontal="center" vertical="center"/>
      <protection locked="0"/>
    </xf>
    <xf numFmtId="10" fontId="47" fillId="0" borderId="85" xfId="0" applyNumberFormat="1" applyFont="1" applyFill="1" applyBorder="1" applyAlignment="1" applyProtection="1">
      <alignment horizontal="center" vertical="center"/>
      <protection locked="0"/>
    </xf>
    <xf numFmtId="0" fontId="53" fillId="0" borderId="22" xfId="52" applyNumberFormat="1" applyFont="1" applyFill="1" applyBorder="1" applyAlignment="1" applyProtection="1">
      <alignment horizontal="center" vertical="center"/>
      <protection locked="0"/>
    </xf>
    <xf numFmtId="49" fontId="53" fillId="0" borderId="34" xfId="52" applyNumberFormat="1" applyFont="1" applyFill="1" applyBorder="1" applyAlignment="1" applyProtection="1">
      <alignment horizontal="center" vertical="center"/>
      <protection locked="0"/>
    </xf>
    <xf numFmtId="2" fontId="53" fillId="0" borderId="83" xfId="52" applyNumberFormat="1" applyFont="1" applyFill="1" applyBorder="1" applyAlignment="1" applyProtection="1">
      <alignment horizontal="center" vertical="center"/>
      <protection locked="0"/>
    </xf>
    <xf numFmtId="2" fontId="53" fillId="0" borderId="85" xfId="52" applyNumberFormat="1" applyFont="1" applyFill="1" applyBorder="1" applyAlignment="1" applyProtection="1">
      <alignment horizontal="center" vertical="center"/>
      <protection locked="0"/>
    </xf>
    <xf numFmtId="10" fontId="53" fillId="0" borderId="83" xfId="0" applyNumberFormat="1" applyFont="1" applyFill="1" applyBorder="1" applyAlignment="1" applyProtection="1">
      <alignment horizontal="center" vertical="center"/>
      <protection locked="0"/>
    </xf>
    <xf numFmtId="10" fontId="53" fillId="0" borderId="85" xfId="0" applyNumberFormat="1" applyFont="1" applyFill="1" applyBorder="1" applyAlignment="1" applyProtection="1">
      <alignment horizontal="center" vertical="center"/>
      <protection locked="0"/>
    </xf>
    <xf numFmtId="0" fontId="53" fillId="0" borderId="32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9" xfId="0" applyFont="1" applyFill="1" applyBorder="1" applyAlignment="1" applyProtection="1">
      <alignment horizontal="center" vertical="center"/>
    </xf>
    <xf numFmtId="49" fontId="58" fillId="25" borderId="83" xfId="0" applyNumberFormat="1" applyFont="1" applyFill="1" applyBorder="1" applyAlignment="1" applyProtection="1">
      <alignment horizontal="center" vertical="center"/>
      <protection locked="0"/>
    </xf>
    <xf numFmtId="49" fontId="58" fillId="25" borderId="84" xfId="0" applyNumberFormat="1" applyFont="1" applyFill="1" applyBorder="1" applyAlignment="1" applyProtection="1">
      <alignment horizontal="center" vertical="center"/>
      <protection locked="0"/>
    </xf>
    <xf numFmtId="49" fontId="58" fillId="25" borderId="85" xfId="0" applyNumberFormat="1" applyFont="1" applyFill="1" applyBorder="1" applyAlignment="1" applyProtection="1">
      <alignment horizontal="center" vertical="center"/>
      <protection locked="0"/>
    </xf>
    <xf numFmtId="0" fontId="10" fillId="25" borderId="0" xfId="0" applyFont="1" applyFill="1" applyBorder="1" applyAlignment="1" applyProtection="1">
      <alignment horizontal="center" vertical="center" wrapText="1"/>
    </xf>
    <xf numFmtId="49" fontId="58" fillId="25" borderId="83" xfId="0" applyNumberFormat="1" applyFont="1" applyFill="1" applyBorder="1" applyAlignment="1" applyProtection="1">
      <alignment horizontal="center" vertical="center"/>
    </xf>
    <xf numFmtId="49" fontId="58" fillId="25" borderId="84" xfId="0" applyNumberFormat="1" applyFont="1" applyFill="1" applyBorder="1" applyAlignment="1" applyProtection="1">
      <alignment horizontal="center" vertical="center"/>
    </xf>
    <xf numFmtId="49" fontId="58" fillId="25" borderId="85" xfId="0" applyNumberFormat="1" applyFont="1" applyFill="1" applyBorder="1" applyAlignment="1" applyProtection="1">
      <alignment horizontal="center" vertical="center"/>
    </xf>
    <xf numFmtId="49" fontId="51" fillId="25" borderId="83" xfId="0" applyNumberFormat="1" applyFont="1" applyFill="1" applyBorder="1" applyAlignment="1" applyProtection="1">
      <alignment horizontal="center" vertical="center"/>
    </xf>
    <xf numFmtId="49" fontId="51" fillId="25" borderId="84" xfId="0" applyNumberFormat="1" applyFont="1" applyFill="1" applyBorder="1" applyAlignment="1" applyProtection="1">
      <alignment horizontal="center" vertical="center"/>
    </xf>
    <xf numFmtId="49" fontId="51" fillId="25" borderId="85" xfId="0" applyNumberFormat="1" applyFont="1" applyFill="1" applyBorder="1" applyAlignment="1" applyProtection="1">
      <alignment horizontal="center" vertical="center"/>
    </xf>
    <xf numFmtId="0" fontId="75" fillId="24" borderId="70" xfId="0" applyFont="1" applyFill="1" applyBorder="1" applyAlignment="1">
      <alignment horizontal="center" vertical="center"/>
    </xf>
    <xf numFmtId="0" fontId="75" fillId="24" borderId="71" xfId="0" applyFont="1" applyFill="1" applyBorder="1" applyAlignment="1">
      <alignment horizontal="center" vertical="center"/>
    </xf>
    <xf numFmtId="0" fontId="75" fillId="24" borderId="74" xfId="0" applyFont="1" applyFill="1" applyBorder="1" applyAlignment="1">
      <alignment horizontal="center" vertical="center"/>
    </xf>
    <xf numFmtId="0" fontId="58" fillId="24" borderId="72" xfId="0" applyFont="1" applyFill="1" applyBorder="1" applyAlignment="1">
      <alignment horizontal="center" vertical="center"/>
    </xf>
    <xf numFmtId="0" fontId="58" fillId="24" borderId="94" xfId="0" applyFont="1" applyFill="1" applyBorder="1" applyAlignment="1">
      <alignment horizontal="center" vertical="center"/>
    </xf>
    <xf numFmtId="0" fontId="58" fillId="24" borderId="95" xfId="0" applyFont="1" applyFill="1" applyBorder="1" applyAlignment="1">
      <alignment horizontal="center" vertical="center"/>
    </xf>
    <xf numFmtId="0" fontId="58" fillId="24" borderId="69" xfId="0" applyFont="1" applyFill="1" applyBorder="1" applyAlignment="1">
      <alignment horizontal="center" vertical="center"/>
    </xf>
    <xf numFmtId="0" fontId="58" fillId="24" borderId="60" xfId="0" applyFont="1" applyFill="1" applyBorder="1" applyAlignment="1">
      <alignment horizontal="center" vertical="center"/>
    </xf>
    <xf numFmtId="0" fontId="58" fillId="24" borderId="69" xfId="0" applyFont="1" applyFill="1" applyBorder="1" applyAlignment="1">
      <alignment horizontal="center" vertical="center" wrapText="1"/>
    </xf>
    <xf numFmtId="0" fontId="58" fillId="24" borderId="60" xfId="0" applyFont="1" applyFill="1" applyBorder="1" applyAlignment="1">
      <alignment horizontal="center" vertical="center" wrapText="1"/>
    </xf>
    <xf numFmtId="0" fontId="88" fillId="24" borderId="86" xfId="0" applyFont="1" applyFill="1" applyBorder="1" applyAlignment="1">
      <alignment horizontal="right" vertical="center" wrapText="1"/>
    </xf>
    <xf numFmtId="0" fontId="88" fillId="24" borderId="87" xfId="0" applyFont="1" applyFill="1" applyBorder="1" applyAlignment="1">
      <alignment horizontal="right" vertical="center" wrapText="1"/>
    </xf>
    <xf numFmtId="0" fontId="88" fillId="24" borderId="88" xfId="0" applyFont="1" applyFill="1" applyBorder="1" applyAlignment="1">
      <alignment horizontal="right" vertical="center" wrapText="1"/>
    </xf>
    <xf numFmtId="0" fontId="88" fillId="24" borderId="89" xfId="0" applyFont="1" applyFill="1" applyBorder="1" applyAlignment="1" applyProtection="1">
      <alignment horizontal="right" vertical="center" wrapText="1"/>
    </xf>
    <xf numFmtId="0" fontId="88" fillId="24" borderId="90" xfId="0" applyFont="1" applyFill="1" applyBorder="1" applyAlignment="1" applyProtection="1">
      <alignment horizontal="right" vertical="center" wrapText="1"/>
    </xf>
    <xf numFmtId="0" fontId="88" fillId="24" borderId="91" xfId="0" applyFont="1" applyFill="1" applyBorder="1" applyAlignment="1" applyProtection="1">
      <alignment horizontal="right" vertical="center" wrapText="1"/>
    </xf>
    <xf numFmtId="0" fontId="88" fillId="24" borderId="92" xfId="0" applyFont="1" applyFill="1" applyBorder="1" applyAlignment="1" applyProtection="1">
      <alignment horizontal="right" vertical="center" wrapText="1"/>
    </xf>
    <xf numFmtId="0" fontId="88" fillId="24" borderId="56" xfId="0" applyFont="1" applyFill="1" applyBorder="1" applyAlignment="1" applyProtection="1">
      <alignment horizontal="right" vertical="center" wrapText="1"/>
    </xf>
    <xf numFmtId="0" fontId="88" fillId="24" borderId="93" xfId="0" applyFont="1" applyFill="1" applyBorder="1" applyAlignment="1" applyProtection="1">
      <alignment horizontal="right" vertical="center" wrapText="1"/>
    </xf>
    <xf numFmtId="0" fontId="92" fillId="24" borderId="0" xfId="0" applyNumberFormat="1" applyFont="1" applyFill="1" applyAlignment="1" applyProtection="1">
      <alignment horizontal="justify" vertical="center" wrapText="1"/>
    </xf>
    <xf numFmtId="1" fontId="92" fillId="24" borderId="96" xfId="0" applyNumberFormat="1" applyFont="1" applyFill="1" applyBorder="1" applyAlignment="1" applyProtection="1">
      <alignment horizontal="center" vertical="center" wrapText="1"/>
      <protection locked="0"/>
    </xf>
    <xf numFmtId="1" fontId="92" fillId="24" borderId="97" xfId="0" applyNumberFormat="1" applyFont="1" applyFill="1" applyBorder="1" applyAlignment="1" applyProtection="1">
      <alignment horizontal="center" vertical="center" wrapText="1"/>
      <protection locked="0"/>
    </xf>
    <xf numFmtId="1" fontId="92" fillId="24" borderId="98" xfId="0" applyNumberFormat="1" applyFont="1" applyFill="1" applyBorder="1" applyAlignment="1" applyProtection="1">
      <alignment horizontal="center" vertical="center" wrapText="1"/>
      <protection locked="0"/>
    </xf>
    <xf numFmtId="1" fontId="92" fillId="24" borderId="99" xfId="0" applyNumberFormat="1" applyFont="1" applyFill="1" applyBorder="1" applyAlignment="1" applyProtection="1">
      <alignment horizontal="center" vertical="center" wrapText="1"/>
      <protection locked="0"/>
    </xf>
    <xf numFmtId="0" fontId="49" fillId="24" borderId="100" xfId="0" applyFont="1" applyFill="1" applyBorder="1" applyAlignment="1" applyProtection="1">
      <alignment horizontal="right" vertical="center" wrapText="1"/>
    </xf>
    <xf numFmtId="0" fontId="49" fillId="24" borderId="101" xfId="0" applyFont="1" applyFill="1" applyBorder="1" applyAlignment="1" applyProtection="1">
      <alignment horizontal="right" vertical="center" wrapText="1"/>
    </xf>
    <xf numFmtId="0" fontId="47" fillId="24" borderId="44" xfId="0" applyFont="1" applyFill="1" applyBorder="1" applyAlignment="1" applyProtection="1">
      <alignment horizontal="center" vertical="center"/>
    </xf>
    <xf numFmtId="0" fontId="47" fillId="24" borderId="42" xfId="0" applyFont="1" applyFill="1" applyBorder="1" applyAlignment="1" applyProtection="1">
      <alignment horizontal="center" vertical="center"/>
    </xf>
    <xf numFmtId="0" fontId="47" fillId="24" borderId="43" xfId="0" applyFont="1" applyFill="1" applyBorder="1" applyAlignment="1" applyProtection="1">
      <alignment horizontal="center" vertical="center"/>
    </xf>
    <xf numFmtId="171" fontId="92" fillId="24" borderId="96" xfId="52" applyFont="1" applyFill="1" applyBorder="1" applyAlignment="1" applyProtection="1">
      <alignment horizontal="center" vertical="center" wrapText="1"/>
    </xf>
    <xf numFmtId="171" fontId="92" fillId="24" borderId="102" xfId="52" applyFont="1" applyFill="1" applyBorder="1" applyAlignment="1" applyProtection="1">
      <alignment horizontal="center" vertical="center" wrapText="1"/>
    </xf>
    <xf numFmtId="171" fontId="92" fillId="24" borderId="98" xfId="52" applyFont="1" applyFill="1" applyBorder="1" applyAlignment="1" applyProtection="1">
      <alignment horizontal="center" vertical="center" wrapText="1"/>
    </xf>
    <xf numFmtId="171" fontId="92" fillId="24" borderId="103" xfId="52" applyFont="1" applyFill="1" applyBorder="1" applyAlignment="1" applyProtection="1">
      <alignment horizontal="center" vertical="center" wrapText="1"/>
    </xf>
    <xf numFmtId="1" fontId="94" fillId="24" borderId="104" xfId="0" applyNumberFormat="1" applyFont="1" applyFill="1" applyBorder="1" applyAlignment="1" applyProtection="1">
      <alignment horizontal="center" vertical="center" wrapText="1"/>
      <protection locked="0"/>
    </xf>
    <xf numFmtId="1" fontId="94" fillId="24" borderId="10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44" xfId="0" applyFont="1" applyFill="1" applyBorder="1" applyAlignment="1" applyProtection="1">
      <alignment horizontal="center" vertical="center"/>
      <protection locked="0"/>
    </xf>
    <xf numFmtId="0" fontId="47" fillId="0" borderId="42" xfId="0" applyFont="1" applyFill="1" applyBorder="1" applyAlignment="1" applyProtection="1">
      <alignment horizontal="center" vertical="center"/>
      <protection locked="0"/>
    </xf>
    <xf numFmtId="0" fontId="47" fillId="0" borderId="43" xfId="0" applyFont="1" applyFill="1" applyBorder="1" applyAlignment="1" applyProtection="1">
      <alignment horizontal="center" vertical="center"/>
      <protection locked="0"/>
    </xf>
    <xf numFmtId="0" fontId="44" fillId="0" borderId="44" xfId="0" applyFont="1" applyFill="1" applyBorder="1" applyAlignment="1" applyProtection="1">
      <alignment horizontal="center" vertical="center"/>
    </xf>
    <xf numFmtId="0" fontId="44" fillId="0" borderId="42" xfId="0" applyFont="1" applyFill="1" applyBorder="1" applyAlignment="1" applyProtection="1">
      <alignment horizontal="center" vertical="center"/>
    </xf>
    <xf numFmtId="0" fontId="44" fillId="0" borderId="43" xfId="0" applyFont="1" applyFill="1" applyBorder="1" applyAlignment="1" applyProtection="1">
      <alignment horizontal="center" vertical="center"/>
    </xf>
    <xf numFmtId="0" fontId="47" fillId="0" borderId="44" xfId="0" applyFont="1" applyFill="1" applyBorder="1" applyAlignment="1" applyProtection="1">
      <alignment horizontal="center" vertical="center"/>
    </xf>
    <xf numFmtId="0" fontId="47" fillId="0" borderId="42" xfId="0" applyFont="1" applyFill="1" applyBorder="1" applyAlignment="1" applyProtection="1">
      <alignment horizontal="center" vertical="center"/>
    </xf>
    <xf numFmtId="0" fontId="47" fillId="0" borderId="43" xfId="0" applyFont="1" applyFill="1" applyBorder="1" applyAlignment="1" applyProtection="1">
      <alignment horizontal="center" vertical="center"/>
    </xf>
    <xf numFmtId="1" fontId="47" fillId="0" borderId="57" xfId="0" applyNumberFormat="1" applyFont="1" applyFill="1" applyBorder="1" applyAlignment="1" applyProtection="1">
      <alignment horizontal="center" vertical="center"/>
      <protection locked="0"/>
    </xf>
    <xf numFmtId="1" fontId="47" fillId="0" borderId="56" xfId="0" applyNumberFormat="1" applyFont="1" applyFill="1" applyBorder="1" applyAlignment="1" applyProtection="1">
      <alignment horizontal="center" vertical="center"/>
      <protection locked="0"/>
    </xf>
    <xf numFmtId="1" fontId="47" fillId="0" borderId="58" xfId="0" applyNumberFormat="1" applyFont="1" applyFill="1" applyBorder="1" applyAlignment="1" applyProtection="1">
      <alignment horizontal="center" vertical="center"/>
      <protection locked="0"/>
    </xf>
    <xf numFmtId="0" fontId="47" fillId="24" borderId="32" xfId="0" applyFont="1" applyFill="1" applyBorder="1" applyAlignment="1" applyProtection="1">
      <alignment horizontal="justify" vertical="center" wrapText="1"/>
    </xf>
    <xf numFmtId="0" fontId="80" fillId="24" borderId="33" xfId="0" applyFont="1" applyFill="1" applyBorder="1" applyAlignment="1" applyProtection="1">
      <alignment horizontal="justify" vertical="center" wrapText="1"/>
    </xf>
    <xf numFmtId="0" fontId="80" fillId="24" borderId="39" xfId="0" applyFont="1" applyFill="1" applyBorder="1" applyAlignment="1" applyProtection="1">
      <alignment horizontal="justify" vertical="center" wrapText="1"/>
    </xf>
    <xf numFmtId="0" fontId="80" fillId="25" borderId="44" xfId="0" applyFont="1" applyFill="1" applyBorder="1" applyAlignment="1" applyProtection="1">
      <alignment horizontal="center" vertical="center" wrapText="1"/>
    </xf>
    <xf numFmtId="0" fontId="80" fillId="25" borderId="42" xfId="0" applyFont="1" applyFill="1" applyBorder="1" applyAlignment="1" applyProtection="1">
      <alignment horizontal="center" vertical="center" wrapText="1"/>
    </xf>
    <xf numFmtId="0" fontId="81" fillId="25" borderId="43" xfId="0" applyFont="1" applyFill="1" applyBorder="1" applyAlignment="1" applyProtection="1">
      <alignment horizontal="center" vertical="center" wrapText="1"/>
    </xf>
    <xf numFmtId="0" fontId="47" fillId="24" borderId="16" xfId="0" applyFont="1" applyFill="1" applyBorder="1" applyAlignment="1" applyProtection="1">
      <alignment horizontal="justify" vertical="center" wrapText="1"/>
    </xf>
    <xf numFmtId="0" fontId="80" fillId="24" borderId="13" xfId="0" applyFont="1" applyFill="1" applyBorder="1" applyAlignment="1" applyProtection="1">
      <alignment horizontal="justify" vertical="center" wrapText="1"/>
    </xf>
    <xf numFmtId="0" fontId="80" fillId="24" borderId="14" xfId="0" applyFont="1" applyFill="1" applyBorder="1" applyAlignment="1" applyProtection="1">
      <alignment horizontal="justify" vertical="center" wrapText="1"/>
    </xf>
    <xf numFmtId="0" fontId="80" fillId="25" borderId="43" xfId="0" applyFont="1" applyFill="1" applyBorder="1" applyAlignment="1" applyProtection="1">
      <alignment horizontal="center" vertical="center" wrapText="1"/>
    </xf>
    <xf numFmtId="0" fontId="82" fillId="25" borderId="0" xfId="0" applyFont="1" applyFill="1" applyBorder="1" applyAlignment="1" applyProtection="1">
      <alignment horizontal="left" vertical="center" wrapText="1"/>
    </xf>
    <xf numFmtId="0" fontId="81" fillId="25" borderId="0" xfId="0" applyFont="1" applyFill="1" applyBorder="1" applyAlignment="1" applyProtection="1">
      <alignment horizontal="left" vertical="center" wrapText="1"/>
    </xf>
    <xf numFmtId="0" fontId="80" fillId="25" borderId="0" xfId="0" applyFont="1" applyFill="1" applyBorder="1" applyAlignment="1" applyProtection="1">
      <alignment horizontal="center" vertical="center" wrapText="1"/>
    </xf>
    <xf numFmtId="10" fontId="59" fillId="25" borderId="106" xfId="0" applyNumberFormat="1" applyFont="1" applyFill="1" applyBorder="1" applyAlignment="1" applyProtection="1">
      <alignment horizontal="center" vertical="center" wrapText="1"/>
    </xf>
    <xf numFmtId="10" fontId="59" fillId="25" borderId="107" xfId="0" applyNumberFormat="1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horizontal="left" vertical="center" wrapText="1"/>
    </xf>
    <xf numFmtId="0" fontId="84" fillId="25" borderId="44" xfId="0" applyFont="1" applyFill="1" applyBorder="1" applyAlignment="1" applyProtection="1">
      <alignment horizontal="center" vertical="center" wrapText="1"/>
    </xf>
    <xf numFmtId="0" fontId="84" fillId="25" borderId="42" xfId="0" applyFont="1" applyFill="1" applyBorder="1" applyAlignment="1" applyProtection="1">
      <alignment horizontal="center" vertical="center" wrapText="1"/>
    </xf>
    <xf numFmtId="0" fontId="81" fillId="25" borderId="108" xfId="0" applyFont="1" applyFill="1" applyBorder="1" applyAlignment="1" applyProtection="1">
      <alignment horizontal="left" vertical="center" wrapText="1"/>
    </xf>
    <xf numFmtId="0" fontId="47" fillId="25" borderId="44" xfId="0" applyFont="1" applyFill="1" applyBorder="1" applyAlignment="1" applyProtection="1">
      <alignment horizontal="center" vertical="center"/>
    </xf>
    <xf numFmtId="0" fontId="47" fillId="25" borderId="43" xfId="0" applyFont="1" applyFill="1" applyBorder="1" applyAlignment="1" applyProtection="1">
      <alignment horizontal="center" vertical="center"/>
    </xf>
    <xf numFmtId="0" fontId="85" fillId="25" borderId="0" xfId="0" applyFont="1" applyFill="1" applyBorder="1" applyAlignment="1" applyProtection="1">
      <alignment vertical="center" wrapText="1"/>
    </xf>
    <xf numFmtId="0" fontId="88" fillId="25" borderId="0" xfId="0" applyFont="1" applyFill="1" applyBorder="1" applyAlignment="1" applyProtection="1">
      <alignment horizontal="center" vertical="center" wrapText="1"/>
    </xf>
    <xf numFmtId="0" fontId="92" fillId="25" borderId="44" xfId="0" applyFont="1" applyFill="1" applyBorder="1" applyAlignment="1" applyProtection="1">
      <alignment horizontal="center" vertical="center"/>
    </xf>
    <xf numFmtId="0" fontId="92" fillId="25" borderId="43" xfId="0" applyFont="1" applyFill="1" applyBorder="1" applyAlignment="1" applyProtection="1">
      <alignment horizontal="center" vertical="center"/>
    </xf>
    <xf numFmtId="0" fontId="92" fillId="25" borderId="44" xfId="0" applyFont="1" applyFill="1" applyBorder="1" applyAlignment="1" applyProtection="1">
      <alignment horizontal="center" vertical="center" wrapText="1"/>
    </xf>
    <xf numFmtId="0" fontId="92" fillId="25" borderId="43" xfId="0" applyFont="1" applyFill="1" applyBorder="1" applyAlignment="1" applyProtection="1">
      <alignment horizontal="center" vertical="center" wrapText="1"/>
    </xf>
    <xf numFmtId="187" fontId="47" fillId="25" borderId="0" xfId="0" applyNumberFormat="1" applyFont="1" applyFill="1" applyBorder="1" applyAlignment="1" applyProtection="1">
      <alignment horizontal="center" vertical="center"/>
    </xf>
    <xf numFmtId="0" fontId="47" fillId="24" borderId="0" xfId="0" applyFont="1" applyFill="1" applyAlignment="1" applyProtection="1">
      <alignment horizontal="center" vertical="center"/>
    </xf>
    <xf numFmtId="0" fontId="40" fillId="24" borderId="0" xfId="0" applyNumberFormat="1" applyFont="1" applyFill="1" applyAlignment="1" applyProtection="1">
      <alignment horizontal="justify" vertical="center" wrapText="1"/>
    </xf>
    <xf numFmtId="0" fontId="49" fillId="24" borderId="0" xfId="0" applyFont="1" applyFill="1" applyBorder="1" applyAlignment="1" applyProtection="1">
      <alignment horizontal="right" vertical="center" wrapText="1"/>
    </xf>
    <xf numFmtId="1" fontId="92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97" fillId="24" borderId="19" xfId="0" applyNumberFormat="1" applyFont="1" applyFill="1" applyBorder="1" applyAlignment="1" applyProtection="1">
      <alignment horizontal="center" vertical="center"/>
    </xf>
    <xf numFmtId="4" fontId="97" fillId="24" borderId="17" xfId="0" applyNumberFormat="1" applyFont="1" applyFill="1" applyBorder="1" applyAlignment="1" applyProtection="1">
      <alignment horizontal="center" vertical="center"/>
    </xf>
    <xf numFmtId="171" fontId="59" fillId="24" borderId="19" xfId="0" applyNumberFormat="1" applyFont="1" applyFill="1" applyBorder="1" applyAlignment="1" applyProtection="1">
      <alignment horizontal="center" vertical="center"/>
    </xf>
    <xf numFmtId="171" fontId="59" fillId="24" borderId="17" xfId="0" applyNumberFormat="1" applyFont="1" applyFill="1" applyBorder="1" applyAlignment="1" applyProtection="1">
      <alignment horizontal="center" vertical="center"/>
    </xf>
    <xf numFmtId="0" fontId="47" fillId="24" borderId="19" xfId="0" applyFont="1" applyFill="1" applyBorder="1" applyAlignment="1" applyProtection="1">
      <alignment horizontal="left" vertical="center"/>
    </xf>
    <xf numFmtId="0" fontId="47" fillId="24" borderId="17" xfId="0" applyFont="1" applyFill="1" applyBorder="1" applyAlignment="1" applyProtection="1">
      <alignment horizontal="left" vertical="center"/>
    </xf>
    <xf numFmtId="0" fontId="92" fillId="24" borderId="44" xfId="0" applyFont="1" applyFill="1" applyBorder="1" applyAlignment="1" applyProtection="1">
      <alignment horizontal="center" vertical="center"/>
    </xf>
    <xf numFmtId="0" fontId="92" fillId="24" borderId="42" xfId="0" applyFont="1" applyFill="1" applyBorder="1" applyAlignment="1" applyProtection="1">
      <alignment horizontal="center" vertical="center"/>
    </xf>
    <xf numFmtId="0" fontId="92" fillId="24" borderId="43" xfId="0" applyFont="1" applyFill="1" applyBorder="1" applyAlignment="1" applyProtection="1">
      <alignment horizontal="center" vertical="center"/>
    </xf>
    <xf numFmtId="0" fontId="59" fillId="25" borderId="44" xfId="0" applyFont="1" applyFill="1" applyBorder="1" applyAlignment="1" applyProtection="1">
      <alignment horizontal="center" vertical="center" wrapText="1"/>
    </xf>
    <xf numFmtId="0" fontId="59" fillId="25" borderId="42" xfId="0" applyFont="1" applyFill="1" applyBorder="1" applyAlignment="1" applyProtection="1">
      <alignment horizontal="center" vertical="center" wrapText="1"/>
    </xf>
    <xf numFmtId="0" fontId="59" fillId="25" borderId="109" xfId="0" applyFont="1" applyFill="1" applyBorder="1" applyAlignment="1" applyProtection="1">
      <alignment horizontal="center" vertical="center" wrapText="1"/>
    </xf>
    <xf numFmtId="0" fontId="44" fillId="25" borderId="44" xfId="0" applyFont="1" applyFill="1" applyBorder="1" applyAlignment="1" applyProtection="1">
      <alignment horizontal="center" vertical="center"/>
    </xf>
    <xf numFmtId="0" fontId="44" fillId="25" borderId="42" xfId="0" applyFont="1" applyFill="1" applyBorder="1" applyAlignment="1" applyProtection="1">
      <alignment horizontal="center" vertical="center"/>
    </xf>
    <xf numFmtId="0" fontId="44" fillId="25" borderId="109" xfId="0" applyFont="1" applyFill="1" applyBorder="1" applyAlignment="1" applyProtection="1">
      <alignment horizontal="center" vertical="center"/>
    </xf>
    <xf numFmtId="0" fontId="47" fillId="25" borderId="44" xfId="0" applyFont="1" applyFill="1" applyBorder="1" applyAlignment="1" applyProtection="1">
      <alignment horizontal="center" vertical="center" wrapText="1"/>
    </xf>
    <xf numFmtId="0" fontId="47" fillId="25" borderId="42" xfId="0" applyFont="1" applyFill="1" applyBorder="1" applyAlignment="1" applyProtection="1">
      <alignment horizontal="center" vertical="center" wrapText="1"/>
    </xf>
    <xf numFmtId="0" fontId="47" fillId="25" borderId="43" xfId="0" applyFont="1" applyFill="1" applyBorder="1" applyAlignment="1" applyProtection="1">
      <alignment horizontal="center" vertical="center" wrapText="1"/>
    </xf>
    <xf numFmtId="0" fontId="47" fillId="25" borderId="0" xfId="0" applyFont="1" applyFill="1" applyBorder="1" applyAlignment="1" applyProtection="1">
      <alignment horizontal="left" vertical="center" wrapText="1"/>
    </xf>
    <xf numFmtId="0" fontId="71" fillId="25" borderId="44" xfId="0" applyFont="1" applyFill="1" applyBorder="1" applyAlignment="1" applyProtection="1">
      <alignment horizontal="center" vertical="center" wrapText="1"/>
    </xf>
    <xf numFmtId="0" fontId="71" fillId="25" borderId="42" xfId="0" applyFont="1" applyFill="1" applyBorder="1" applyAlignment="1" applyProtection="1">
      <alignment horizontal="center" vertical="center" wrapText="1"/>
    </xf>
    <xf numFmtId="1" fontId="57" fillId="24" borderId="44" xfId="0" applyNumberFormat="1" applyFont="1" applyFill="1" applyBorder="1" applyAlignment="1" applyProtection="1">
      <alignment horizontal="center" vertical="center"/>
    </xf>
    <xf numFmtId="1" fontId="57" fillId="24" borderId="43" xfId="0" applyNumberFormat="1" applyFont="1" applyFill="1" applyBorder="1" applyAlignment="1" applyProtection="1">
      <alignment horizontal="center" vertical="center"/>
    </xf>
    <xf numFmtId="0" fontId="47" fillId="25" borderId="19" xfId="0" applyFont="1" applyFill="1" applyBorder="1" applyAlignment="1" applyProtection="1">
      <alignment horizontal="center" vertical="center" wrapText="1"/>
    </xf>
    <xf numFmtId="0" fontId="47" fillId="25" borderId="17" xfId="0" applyFont="1" applyFill="1" applyBorder="1" applyAlignment="1" applyProtection="1">
      <alignment horizontal="center" vertical="center" wrapText="1"/>
    </xf>
    <xf numFmtId="171" fontId="20" fillId="24" borderId="0" xfId="52" applyFont="1" applyFill="1" applyAlignment="1" applyProtection="1">
      <alignment horizontal="left" vertical="center"/>
    </xf>
    <xf numFmtId="171" fontId="20" fillId="24" borderId="0" xfId="52" applyFont="1" applyFill="1" applyAlignment="1" applyProtection="1">
      <alignment horizontal="center" vertical="center"/>
    </xf>
    <xf numFmtId="49" fontId="75" fillId="24" borderId="22" xfId="0" applyNumberFormat="1" applyFont="1" applyFill="1" applyBorder="1" applyAlignment="1" applyProtection="1">
      <alignment horizontal="left" vertical="center" wrapText="1"/>
      <protection locked="0"/>
    </xf>
    <xf numFmtId="49" fontId="75" fillId="24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23" xfId="0" applyFont="1" applyFill="1" applyBorder="1" applyAlignment="1" applyProtection="1">
      <alignment horizontal="center" vertical="center" wrapText="1"/>
    </xf>
    <xf numFmtId="0" fontId="10" fillId="24" borderId="34" xfId="0" applyFont="1" applyFill="1" applyBorder="1" applyAlignment="1" applyProtection="1">
      <alignment horizontal="center" vertical="center" wrapText="1"/>
    </xf>
    <xf numFmtId="0" fontId="75" fillId="24" borderId="76" xfId="0" applyFont="1" applyFill="1" applyBorder="1" applyAlignment="1" applyProtection="1">
      <alignment horizontal="left" vertical="center" wrapText="1"/>
    </xf>
    <xf numFmtId="180" fontId="93" fillId="24" borderId="0" xfId="0" applyNumberFormat="1" applyFont="1" applyFill="1" applyBorder="1" applyAlignment="1" applyProtection="1">
      <alignment horizontal="center" vertical="center" wrapText="1"/>
    </xf>
    <xf numFmtId="0" fontId="75" fillId="24" borderId="11" xfId="0" applyFont="1" applyFill="1" applyBorder="1" applyAlignment="1" applyProtection="1">
      <alignment horizontal="left" vertical="center" wrapText="1"/>
    </xf>
    <xf numFmtId="0" fontId="101" fillId="24" borderId="77" xfId="0" applyNumberFormat="1" applyFont="1" applyFill="1" applyBorder="1" applyAlignment="1" applyProtection="1">
      <alignment horizontal="left" vertical="center"/>
      <protection locked="0"/>
    </xf>
    <xf numFmtId="0" fontId="101" fillId="24" borderId="56" xfId="0" applyNumberFormat="1" applyFont="1" applyFill="1" applyBorder="1" applyAlignment="1" applyProtection="1">
      <alignment horizontal="left" vertical="center"/>
      <protection locked="0"/>
    </xf>
    <xf numFmtId="0" fontId="101" fillId="24" borderId="78" xfId="0" applyNumberFormat="1" applyFont="1" applyFill="1" applyBorder="1" applyAlignment="1" applyProtection="1">
      <alignment horizontal="left" vertical="center"/>
      <protection locked="0"/>
    </xf>
    <xf numFmtId="171" fontId="93" fillId="24" borderId="16" xfId="52" applyFont="1" applyFill="1" applyBorder="1" applyAlignment="1" applyProtection="1">
      <alignment horizontal="center" vertical="center" wrapText="1"/>
    </xf>
    <xf numFmtId="171" fontId="93" fillId="24" borderId="14" xfId="52" applyFont="1" applyFill="1" applyBorder="1" applyAlignment="1" applyProtection="1">
      <alignment horizontal="center" vertical="center" wrapText="1"/>
    </xf>
    <xf numFmtId="0" fontId="93" fillId="24" borderId="11" xfId="0" applyNumberFormat="1" applyFont="1" applyFill="1" applyBorder="1" applyAlignment="1" applyProtection="1">
      <alignment horizontal="left" vertical="center" wrapText="1"/>
    </xf>
    <xf numFmtId="0" fontId="45" fillId="24" borderId="27" xfId="0" applyFont="1" applyFill="1" applyBorder="1" applyAlignment="1" applyProtection="1">
      <alignment horizontal="left" vertical="center" wrapText="1"/>
    </xf>
    <xf numFmtId="0" fontId="45" fillId="24" borderId="28" xfId="0" applyFont="1" applyFill="1" applyBorder="1" applyAlignment="1" applyProtection="1">
      <alignment horizontal="left" vertical="center" wrapText="1"/>
    </xf>
    <xf numFmtId="0" fontId="45" fillId="24" borderId="29" xfId="0" applyFont="1" applyFill="1" applyBorder="1" applyAlignment="1" applyProtection="1">
      <alignment horizontal="left" vertical="center" wrapText="1"/>
    </xf>
    <xf numFmtId="49" fontId="75" fillId="24" borderId="23" xfId="0" applyNumberFormat="1" applyFont="1" applyFill="1" applyBorder="1" applyAlignment="1" applyProtection="1">
      <alignment horizontal="left" vertical="center" wrapText="1"/>
      <protection locked="0"/>
    </xf>
    <xf numFmtId="171" fontId="44" fillId="24" borderId="24" xfId="52" applyNumberFormat="1" applyFont="1" applyFill="1" applyBorder="1" applyAlignment="1" applyProtection="1">
      <alignment horizontal="left" vertical="center"/>
    </xf>
    <xf numFmtId="171" fontId="44" fillId="24" borderId="41" xfId="52" applyNumberFormat="1" applyFont="1" applyFill="1" applyBorder="1" applyAlignment="1" applyProtection="1">
      <alignment horizontal="left" vertical="center"/>
    </xf>
    <xf numFmtId="0" fontId="47" fillId="24" borderId="38" xfId="0" applyFont="1" applyFill="1" applyBorder="1" applyAlignment="1" applyProtection="1">
      <alignment horizontal="center" vertical="center"/>
    </xf>
    <xf numFmtId="0" fontId="47" fillId="24" borderId="24" xfId="0" applyFont="1" applyFill="1" applyBorder="1" applyAlignment="1" applyProtection="1">
      <alignment horizontal="center" vertical="center"/>
    </xf>
    <xf numFmtId="0" fontId="47" fillId="24" borderId="41" xfId="0" applyFont="1" applyFill="1" applyBorder="1" applyAlignment="1" applyProtection="1">
      <alignment horizontal="center" vertical="center"/>
    </xf>
    <xf numFmtId="0" fontId="45" fillId="24" borderId="25" xfId="0" applyFont="1" applyFill="1" applyBorder="1" applyAlignment="1" applyProtection="1">
      <alignment horizontal="justify" vertical="center" wrapText="1"/>
    </xf>
    <xf numFmtId="0" fontId="45" fillId="24" borderId="0" xfId="0" applyFont="1" applyFill="1" applyBorder="1" applyAlignment="1" applyProtection="1">
      <alignment horizontal="justify" vertical="center" wrapText="1"/>
    </xf>
    <xf numFmtId="0" fontId="45" fillId="24" borderId="26" xfId="0" applyFont="1" applyFill="1" applyBorder="1" applyAlignment="1" applyProtection="1">
      <alignment horizontal="justify" vertical="center" wrapText="1"/>
    </xf>
    <xf numFmtId="0" fontId="75" fillId="24" borderId="0" xfId="0" applyFont="1" applyFill="1" applyBorder="1" applyAlignment="1" applyProtection="1">
      <alignment horizontal="left" vertical="center" wrapText="1"/>
    </xf>
    <xf numFmtId="0" fontId="45" fillId="24" borderId="25" xfId="0" applyFont="1" applyFill="1" applyBorder="1" applyAlignment="1" applyProtection="1">
      <alignment horizontal="left" vertical="center" wrapText="1"/>
    </xf>
    <xf numFmtId="0" fontId="45" fillId="24" borderId="0" xfId="0" applyFont="1" applyFill="1" applyBorder="1" applyAlignment="1" applyProtection="1">
      <alignment horizontal="left" vertical="center" wrapText="1"/>
    </xf>
    <xf numFmtId="49" fontId="72" fillId="24" borderId="23" xfId="0" applyNumberFormat="1" applyFont="1" applyFill="1" applyBorder="1" applyProtection="1">
      <protection locked="0"/>
    </xf>
    <xf numFmtId="49" fontId="72" fillId="24" borderId="34" xfId="0" applyNumberFormat="1" applyFont="1" applyFill="1" applyBorder="1" applyProtection="1">
      <protection locked="0"/>
    </xf>
    <xf numFmtId="2" fontId="88" fillId="24" borderId="22" xfId="0" applyNumberFormat="1" applyFont="1" applyFill="1" applyBorder="1" applyAlignment="1" applyProtection="1">
      <alignment horizontal="left" vertical="center" wrapText="1"/>
    </xf>
    <xf numFmtId="2" fontId="88" fillId="24" borderId="34" xfId="0" applyNumberFormat="1" applyFont="1" applyFill="1" applyBorder="1" applyAlignment="1" applyProtection="1">
      <alignment horizontal="left" vertical="center" wrapText="1"/>
    </xf>
    <xf numFmtId="0" fontId="58" fillId="24" borderId="40" xfId="0" applyFont="1" applyFill="1" applyBorder="1" applyAlignment="1" applyProtection="1">
      <alignment horizontal="left" vertical="center"/>
    </xf>
    <xf numFmtId="0" fontId="45" fillId="24" borderId="116" xfId="0" applyFont="1" applyFill="1" applyBorder="1" applyAlignment="1" applyProtection="1">
      <alignment horizontal="justify" vertical="center" wrapText="1"/>
    </xf>
    <xf numFmtId="0" fontId="45" fillId="24" borderId="40" xfId="0" applyFont="1" applyFill="1" applyBorder="1" applyAlignment="1" applyProtection="1">
      <alignment horizontal="justify" vertical="center" wrapText="1"/>
    </xf>
    <xf numFmtId="0" fontId="45" fillId="24" borderId="117" xfId="0" applyFont="1" applyFill="1" applyBorder="1" applyAlignment="1" applyProtection="1">
      <alignment horizontal="justify" vertical="center" wrapText="1"/>
    </xf>
    <xf numFmtId="0" fontId="93" fillId="24" borderId="22" xfId="0" applyFont="1" applyFill="1" applyBorder="1" applyAlignment="1" applyProtection="1">
      <alignment horizontal="left" vertical="center"/>
    </xf>
    <xf numFmtId="0" fontId="93" fillId="24" borderId="23" xfId="0" applyFont="1" applyFill="1" applyBorder="1" applyAlignment="1" applyProtection="1">
      <alignment horizontal="left" vertical="center"/>
    </xf>
    <xf numFmtId="0" fontId="93" fillId="24" borderId="34" xfId="0" applyFont="1" applyFill="1" applyBorder="1" applyAlignment="1" applyProtection="1">
      <alignment horizontal="left" vertical="center"/>
    </xf>
    <xf numFmtId="0" fontId="58" fillId="24" borderId="22" xfId="0" applyFont="1" applyFill="1" applyBorder="1" applyAlignment="1" applyProtection="1">
      <alignment horizontal="left" vertical="center" wrapText="1"/>
    </xf>
    <xf numFmtId="0" fontId="58" fillId="24" borderId="23" xfId="0" applyFont="1" applyFill="1" applyBorder="1" applyAlignment="1" applyProtection="1">
      <alignment horizontal="left" vertical="center" wrapText="1"/>
    </xf>
    <xf numFmtId="0" fontId="47" fillId="24" borderId="23" xfId="0" applyFont="1" applyFill="1" applyBorder="1" applyAlignment="1" applyProtection="1">
      <alignment horizontal="center" vertical="center" wrapText="1"/>
    </xf>
    <xf numFmtId="0" fontId="47" fillId="24" borderId="34" xfId="0" applyFont="1" applyFill="1" applyBorder="1" applyAlignment="1" applyProtection="1">
      <alignment horizontal="center" vertical="center" wrapText="1"/>
    </xf>
    <xf numFmtId="0" fontId="54" fillId="24" borderId="38" xfId="0" applyFont="1" applyFill="1" applyBorder="1" applyAlignment="1" applyProtection="1">
      <alignment horizontal="center" vertical="center"/>
    </xf>
    <xf numFmtId="0" fontId="54" fillId="24" borderId="24" xfId="0" applyFont="1" applyFill="1" applyBorder="1" applyAlignment="1" applyProtection="1">
      <alignment horizontal="center" vertical="center"/>
    </xf>
    <xf numFmtId="0" fontId="54" fillId="24" borderId="41" xfId="0" applyFont="1" applyFill="1" applyBorder="1" applyAlignment="1" applyProtection="1">
      <alignment horizontal="center" vertical="center"/>
    </xf>
    <xf numFmtId="0" fontId="51" fillId="24" borderId="113" xfId="0" applyFont="1" applyFill="1" applyBorder="1" applyAlignment="1" applyProtection="1">
      <alignment horizontal="center" vertical="center" wrapText="1"/>
    </xf>
    <xf numFmtId="0" fontId="51" fillId="24" borderId="114" xfId="0" applyFont="1" applyFill="1" applyBorder="1" applyAlignment="1" applyProtection="1">
      <alignment horizontal="center" vertical="center" wrapText="1"/>
    </xf>
    <xf numFmtId="0" fontId="51" fillId="24" borderId="38" xfId="0" applyFont="1" applyFill="1" applyBorder="1" applyAlignment="1" applyProtection="1">
      <alignment horizontal="left" vertical="center"/>
    </xf>
    <xf numFmtId="0" fontId="51" fillId="24" borderId="24" xfId="0" applyFont="1" applyFill="1" applyBorder="1" applyAlignment="1" applyProtection="1">
      <alignment horizontal="left" vertical="center"/>
    </xf>
    <xf numFmtId="0" fontId="51" fillId="24" borderId="41" xfId="0" applyFont="1" applyFill="1" applyBorder="1" applyAlignment="1" applyProtection="1">
      <alignment horizontal="left" vertical="center"/>
    </xf>
    <xf numFmtId="0" fontId="101" fillId="24" borderId="22" xfId="0" applyFont="1" applyFill="1" applyBorder="1" applyAlignment="1" applyProtection="1">
      <alignment horizontal="left" vertical="center" wrapText="1"/>
    </xf>
    <xf numFmtId="0" fontId="101" fillId="24" borderId="23" xfId="0" applyFont="1" applyFill="1" applyBorder="1" applyAlignment="1" applyProtection="1">
      <alignment horizontal="left" vertical="center" wrapText="1"/>
    </xf>
    <xf numFmtId="0" fontId="101" fillId="24" borderId="34" xfId="0" applyFont="1" applyFill="1" applyBorder="1" applyAlignment="1" applyProtection="1">
      <alignment horizontal="left" vertical="center" wrapText="1"/>
    </xf>
    <xf numFmtId="39" fontId="88" fillId="24" borderId="115" xfId="52" applyNumberFormat="1" applyFont="1" applyFill="1" applyBorder="1" applyAlignment="1" applyProtection="1">
      <alignment horizontal="center" vertical="center" wrapText="1"/>
    </xf>
    <xf numFmtId="39" fontId="88" fillId="24" borderId="34" xfId="52" applyNumberFormat="1" applyFont="1" applyFill="1" applyBorder="1" applyAlignment="1" applyProtection="1">
      <alignment horizontal="center" vertical="center" wrapText="1"/>
    </xf>
    <xf numFmtId="0" fontId="51" fillId="24" borderId="36" xfId="0" applyFont="1" applyFill="1" applyBorder="1" applyAlignment="1" applyProtection="1">
      <alignment horizontal="center" vertical="center" wrapText="1"/>
    </xf>
    <xf numFmtId="0" fontId="57" fillId="24" borderId="31" xfId="0" applyFont="1" applyFill="1" applyBorder="1" applyAlignment="1" applyProtection="1">
      <alignment horizontal="right" vertical="center" wrapText="1"/>
    </xf>
    <xf numFmtId="0" fontId="88" fillId="24" borderId="23" xfId="0" applyFont="1" applyFill="1" applyBorder="1" applyAlignment="1" applyProtection="1">
      <alignment horizontal="center" vertical="center" wrapText="1"/>
    </xf>
    <xf numFmtId="0" fontId="88" fillId="24" borderId="34" xfId="0" applyFont="1" applyFill="1" applyBorder="1" applyAlignment="1" applyProtection="1">
      <alignment horizontal="center" vertical="center" wrapText="1"/>
    </xf>
    <xf numFmtId="0" fontId="75" fillId="24" borderId="22" xfId="0" applyFont="1" applyFill="1" applyBorder="1" applyAlignment="1" applyProtection="1">
      <alignment horizontal="left" vertical="center" wrapText="1"/>
    </xf>
    <xf numFmtId="0" fontId="75" fillId="24" borderId="23" xfId="0" applyFont="1" applyFill="1" applyBorder="1" applyAlignment="1" applyProtection="1">
      <alignment horizontal="left" vertical="center" wrapText="1"/>
    </xf>
    <xf numFmtId="0" fontId="75" fillId="24" borderId="34" xfId="0" applyFont="1" applyFill="1" applyBorder="1" applyAlignment="1" applyProtection="1">
      <alignment horizontal="left" vertical="center" wrapText="1"/>
    </xf>
    <xf numFmtId="0" fontId="57" fillId="24" borderId="32" xfId="0" applyFont="1" applyFill="1" applyBorder="1" applyAlignment="1" applyProtection="1">
      <alignment horizontal="right" vertical="center" wrapText="1"/>
    </xf>
    <xf numFmtId="0" fontId="57" fillId="24" borderId="33" xfId="0" applyFont="1" applyFill="1" applyBorder="1" applyAlignment="1" applyProtection="1">
      <alignment horizontal="right" vertical="center" wrapText="1"/>
    </xf>
    <xf numFmtId="0" fontId="57" fillId="24" borderId="39" xfId="0" applyFont="1" applyFill="1" applyBorder="1" applyAlignment="1" applyProtection="1">
      <alignment horizontal="right" vertical="center" wrapText="1"/>
    </xf>
    <xf numFmtId="0" fontId="47" fillId="24" borderId="22" xfId="0" applyFont="1" applyFill="1" applyBorder="1" applyAlignment="1" applyProtection="1">
      <alignment horizontal="right" vertical="center" wrapText="1"/>
    </xf>
    <xf numFmtId="0" fontId="47" fillId="24" borderId="23" xfId="0" applyFont="1" applyFill="1" applyBorder="1" applyAlignment="1" applyProtection="1">
      <alignment horizontal="right" vertical="center" wrapText="1"/>
    </xf>
    <xf numFmtId="0" fontId="47" fillId="24" borderId="34" xfId="0" applyFont="1" applyFill="1" applyBorder="1" applyAlignment="1" applyProtection="1">
      <alignment horizontal="right" vertical="center" wrapText="1"/>
    </xf>
    <xf numFmtId="171" fontId="98" fillId="24" borderId="16" xfId="52" applyFont="1" applyFill="1" applyBorder="1" applyAlignment="1" applyProtection="1">
      <alignment horizontal="center" vertical="center" wrapText="1"/>
    </xf>
    <xf numFmtId="171" fontId="98" fillId="24" borderId="13" xfId="52" applyFont="1" applyFill="1" applyBorder="1" applyAlignment="1" applyProtection="1">
      <alignment horizontal="center" vertical="center" wrapText="1"/>
    </xf>
    <xf numFmtId="0" fontId="75" fillId="24" borderId="16" xfId="0" applyFont="1" applyFill="1" applyBorder="1" applyAlignment="1" applyProtection="1">
      <alignment horizontal="left" vertical="center" wrapText="1"/>
    </xf>
    <xf numFmtId="0" fontId="75" fillId="24" borderId="13" xfId="0" applyFont="1" applyFill="1" applyBorder="1" applyAlignment="1" applyProtection="1">
      <alignment horizontal="left" vertical="center" wrapText="1"/>
    </xf>
    <xf numFmtId="0" fontId="75" fillId="24" borderId="14" xfId="0" applyFont="1" applyFill="1" applyBorder="1" applyAlignment="1" applyProtection="1">
      <alignment horizontal="left" vertical="center" wrapText="1"/>
    </xf>
    <xf numFmtId="0" fontId="7" fillId="24" borderId="15" xfId="0" applyFont="1" applyFill="1" applyBorder="1" applyAlignment="1" applyProtection="1">
      <alignment horizontal="center" vertical="center"/>
    </xf>
    <xf numFmtId="0" fontId="20" fillId="24" borderId="15" xfId="0" applyFont="1" applyFill="1" applyBorder="1" applyAlignment="1" applyProtection="1">
      <alignment horizontal="center" vertical="center"/>
    </xf>
    <xf numFmtId="0" fontId="58" fillId="24" borderId="38" xfId="0" applyFont="1" applyFill="1" applyBorder="1" applyAlignment="1" applyProtection="1">
      <alignment horizontal="left" vertical="center"/>
    </xf>
    <xf numFmtId="0" fontId="58" fillId="24" borderId="24" xfId="0" applyFont="1" applyFill="1" applyBorder="1" applyAlignment="1" applyProtection="1">
      <alignment horizontal="left" vertical="center"/>
    </xf>
    <xf numFmtId="0" fontId="58" fillId="24" borderId="41" xfId="0" applyFont="1" applyFill="1" applyBorder="1" applyAlignment="1" applyProtection="1">
      <alignment horizontal="left" vertical="center"/>
    </xf>
    <xf numFmtId="0" fontId="58" fillId="24" borderId="22" xfId="0" applyFont="1" applyFill="1" applyBorder="1" applyAlignment="1" applyProtection="1">
      <alignment horizontal="center" vertical="center"/>
    </xf>
    <xf numFmtId="0" fontId="58" fillId="24" borderId="23" xfId="0" applyFont="1" applyFill="1" applyBorder="1" applyAlignment="1" applyProtection="1">
      <alignment horizontal="center" vertical="center"/>
    </xf>
    <xf numFmtId="180" fontId="58" fillId="24" borderId="33" xfId="0" applyNumberFormat="1" applyFont="1" applyFill="1" applyBorder="1" applyAlignment="1" applyProtection="1">
      <alignment horizontal="center" vertical="center" wrapText="1"/>
    </xf>
    <xf numFmtId="0" fontId="101" fillId="24" borderId="110" xfId="0" applyNumberFormat="1" applyFont="1" applyFill="1" applyBorder="1" applyAlignment="1" applyProtection="1">
      <alignment horizontal="center" vertical="center"/>
      <protection locked="0"/>
    </xf>
    <xf numFmtId="0" fontId="101" fillId="24" borderId="111" xfId="0" applyNumberFormat="1" applyFont="1" applyFill="1" applyBorder="1" applyAlignment="1" applyProtection="1">
      <alignment horizontal="center" vertical="center"/>
      <protection locked="0"/>
    </xf>
    <xf numFmtId="0" fontId="101" fillId="24" borderId="112" xfId="0" applyNumberFormat="1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</xf>
    <xf numFmtId="0" fontId="3" fillId="24" borderId="22" xfId="0" applyFont="1" applyFill="1" applyBorder="1" applyAlignment="1" applyProtection="1">
      <alignment horizontal="right" vertical="center" wrapText="1"/>
    </xf>
    <xf numFmtId="0" fontId="3" fillId="24" borderId="23" xfId="0" applyFont="1" applyFill="1" applyBorder="1" applyAlignment="1" applyProtection="1">
      <alignment horizontal="right" vertical="center" wrapText="1"/>
    </xf>
    <xf numFmtId="180" fontId="7" fillId="24" borderId="15" xfId="0" applyNumberFormat="1" applyFont="1" applyFill="1" applyBorder="1" applyAlignment="1" applyProtection="1">
      <alignment horizontal="center" vertical="center" wrapText="1"/>
    </xf>
    <xf numFmtId="180" fontId="7" fillId="24" borderId="0" xfId="0" applyNumberFormat="1" applyFont="1" applyFill="1" applyBorder="1" applyAlignment="1" applyProtection="1">
      <alignment horizontal="center" vertical="center" wrapText="1"/>
    </xf>
    <xf numFmtId="180" fontId="7" fillId="24" borderId="12" xfId="0" applyNumberFormat="1" applyFont="1" applyFill="1" applyBorder="1" applyAlignment="1" applyProtection="1">
      <alignment horizontal="center" vertical="center" wrapText="1"/>
    </xf>
    <xf numFmtId="0" fontId="19" fillId="24" borderId="22" xfId="0" applyFont="1" applyFill="1" applyBorder="1" applyAlignment="1" applyProtection="1">
      <alignment horizontal="right" vertical="center"/>
    </xf>
    <xf numFmtId="0" fontId="19" fillId="24" borderId="23" xfId="0" applyFont="1" applyFill="1" applyBorder="1" applyAlignment="1" applyProtection="1">
      <alignment horizontal="right" vertical="center"/>
    </xf>
    <xf numFmtId="0" fontId="19" fillId="24" borderId="34" xfId="0" applyFont="1" applyFill="1" applyBorder="1" applyAlignment="1" applyProtection="1">
      <alignment horizontal="right" vertical="center"/>
    </xf>
    <xf numFmtId="0" fontId="53" fillId="24" borderId="23" xfId="0" applyFont="1" applyFill="1" applyBorder="1" applyAlignment="1" applyProtection="1">
      <alignment horizontal="right" vertical="center" wrapText="1"/>
    </xf>
    <xf numFmtId="0" fontId="47" fillId="24" borderId="16" xfId="0" applyFont="1" applyFill="1" applyBorder="1" applyAlignment="1" applyProtection="1">
      <alignment horizontal="right" vertical="center" wrapText="1"/>
    </xf>
    <xf numFmtId="0" fontId="47" fillId="24" borderId="13" xfId="0" applyFont="1" applyFill="1" applyBorder="1" applyAlignment="1" applyProtection="1">
      <alignment horizontal="right" vertical="center" wrapText="1"/>
    </xf>
    <xf numFmtId="0" fontId="58" fillId="24" borderId="38" xfId="0" applyFont="1" applyFill="1" applyBorder="1" applyAlignment="1" applyProtection="1">
      <alignment vertical="center"/>
    </xf>
    <xf numFmtId="0" fontId="75" fillId="24" borderId="24" xfId="0" applyFont="1" applyFill="1" applyBorder="1" applyAlignment="1" applyProtection="1">
      <alignment vertical="center"/>
    </xf>
    <xf numFmtId="0" fontId="75" fillId="24" borderId="41" xfId="0" applyFont="1" applyFill="1" applyBorder="1" applyAlignment="1" applyProtection="1">
      <alignment vertical="center"/>
    </xf>
    <xf numFmtId="0" fontId="46" fillId="24" borderId="28" xfId="0" applyFont="1" applyFill="1" applyBorder="1" applyAlignment="1" applyProtection="1">
      <alignment horizontal="center" vertical="center"/>
    </xf>
    <xf numFmtId="0" fontId="34" fillId="24" borderId="0" xfId="0" applyFont="1" applyFill="1" applyBorder="1" applyAlignment="1" applyProtection="1">
      <alignment vertical="center" wrapText="1"/>
    </xf>
    <xf numFmtId="0" fontId="58" fillId="24" borderId="38" xfId="0" applyFont="1" applyFill="1" applyBorder="1" applyAlignment="1" applyProtection="1">
      <alignment horizontal="center" vertical="center"/>
    </xf>
    <xf numFmtId="0" fontId="58" fillId="24" borderId="24" xfId="0" applyFont="1" applyFill="1" applyBorder="1" applyAlignment="1" applyProtection="1">
      <alignment horizontal="center" vertical="center"/>
    </xf>
    <xf numFmtId="0" fontId="58" fillId="24" borderId="41" xfId="0" applyFont="1" applyFill="1" applyBorder="1" applyAlignment="1" applyProtection="1">
      <alignment horizontal="center" vertical="center"/>
    </xf>
    <xf numFmtId="0" fontId="93" fillId="24" borderId="76" xfId="0" applyNumberFormat="1" applyFont="1" applyFill="1" applyBorder="1" applyAlignment="1" applyProtection="1">
      <alignment horizontal="left" vertical="center" wrapText="1"/>
    </xf>
    <xf numFmtId="0" fontId="45" fillId="24" borderId="26" xfId="0" applyFont="1" applyFill="1" applyBorder="1" applyAlignment="1" applyProtection="1">
      <alignment horizontal="left" vertical="center" wrapText="1"/>
    </xf>
    <xf numFmtId="0" fontId="7" fillId="24" borderId="12" xfId="0" applyFont="1" applyFill="1" applyBorder="1" applyAlignment="1" applyProtection="1">
      <alignment horizontal="center" vertical="center"/>
    </xf>
    <xf numFmtId="0" fontId="20" fillId="24" borderId="12" xfId="0" applyFont="1" applyFill="1" applyBorder="1" applyAlignment="1" applyProtection="1">
      <alignment horizontal="center" vertical="center"/>
    </xf>
    <xf numFmtId="49" fontId="77" fillId="24" borderId="32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33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39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77" fillId="24" borderId="14" xfId="0" applyNumberFormat="1" applyFont="1" applyFill="1" applyBorder="1" applyAlignment="1" applyProtection="1">
      <alignment horizontal="left" vertical="center" wrapText="1"/>
      <protection locked="0"/>
    </xf>
    <xf numFmtId="171" fontId="20" fillId="24" borderId="0" xfId="0" applyNumberFormat="1" applyFont="1" applyFill="1" applyAlignment="1" applyProtection="1">
      <alignment horizontal="center" vertical="center"/>
    </xf>
    <xf numFmtId="0" fontId="20" fillId="24" borderId="0" xfId="0" applyFont="1" applyFill="1" applyAlignment="1" applyProtection="1">
      <alignment horizontal="center" vertical="center"/>
    </xf>
    <xf numFmtId="171" fontId="47" fillId="24" borderId="24" xfId="52" applyFont="1" applyFill="1" applyBorder="1" applyAlignment="1" applyProtection="1">
      <alignment horizontal="center" vertical="center" wrapText="1"/>
    </xf>
    <xf numFmtId="2" fontId="26" fillId="24" borderId="22" xfId="52" applyNumberFormat="1" applyFont="1" applyFill="1" applyBorder="1" applyAlignment="1" applyProtection="1">
      <alignment horizontal="right" vertical="center" wrapText="1"/>
    </xf>
    <xf numFmtId="2" fontId="26" fillId="24" borderId="23" xfId="52" applyNumberFormat="1" applyFont="1" applyFill="1" applyBorder="1" applyAlignment="1" applyProtection="1">
      <alignment horizontal="right" vertical="center" wrapText="1"/>
    </xf>
    <xf numFmtId="0" fontId="19" fillId="24" borderId="22" xfId="0" applyFont="1" applyFill="1" applyBorder="1" applyAlignment="1" applyProtection="1">
      <alignment horizontal="right" vertical="center" wrapText="1"/>
    </xf>
    <xf numFmtId="0" fontId="20" fillId="24" borderId="23" xfId="0" applyFont="1" applyFill="1" applyBorder="1" applyAlignment="1" applyProtection="1">
      <alignment horizontal="right" vertical="center" wrapText="1"/>
    </xf>
    <xf numFmtId="0" fontId="75" fillId="24" borderId="22" xfId="0" applyFont="1" applyFill="1" applyBorder="1" applyAlignment="1" applyProtection="1">
      <alignment horizontal="left" vertical="center"/>
    </xf>
    <xf numFmtId="0" fontId="75" fillId="24" borderId="23" xfId="0" applyFont="1" applyFill="1" applyBorder="1" applyAlignment="1" applyProtection="1">
      <alignment horizontal="left" vertical="center"/>
    </xf>
    <xf numFmtId="0" fontId="75" fillId="24" borderId="34" xfId="0" applyFont="1" applyFill="1" applyBorder="1" applyAlignment="1" applyProtection="1">
      <alignment horizontal="left" vertical="center"/>
    </xf>
    <xf numFmtId="0" fontId="57" fillId="24" borderId="22" xfId="0" applyFont="1" applyFill="1" applyBorder="1" applyAlignment="1" applyProtection="1">
      <alignment horizontal="right" vertical="center" wrapText="1"/>
    </xf>
    <xf numFmtId="0" fontId="57" fillId="24" borderId="23" xfId="0" applyFont="1" applyFill="1" applyBorder="1" applyAlignment="1" applyProtection="1">
      <alignment horizontal="right" vertical="center" wrapText="1"/>
    </xf>
    <xf numFmtId="0" fontId="57" fillId="24" borderId="34" xfId="0" applyFont="1" applyFill="1" applyBorder="1" applyAlignment="1" applyProtection="1">
      <alignment horizontal="right" vertical="center" wrapText="1"/>
    </xf>
    <xf numFmtId="0" fontId="45" fillId="24" borderId="22" xfId="0" applyFont="1" applyFill="1" applyBorder="1" applyAlignment="1" applyProtection="1">
      <alignment horizontal="center" vertical="center" wrapText="1"/>
    </xf>
    <xf numFmtId="0" fontId="45" fillId="24" borderId="23" xfId="0" applyFont="1" applyFill="1" applyBorder="1" applyAlignment="1" applyProtection="1">
      <alignment horizontal="center" vertical="center" wrapText="1"/>
    </xf>
    <xf numFmtId="0" fontId="45" fillId="24" borderId="34" xfId="0" applyFont="1" applyFill="1" applyBorder="1" applyAlignment="1" applyProtection="1">
      <alignment horizontal="center" vertical="center" wrapText="1"/>
    </xf>
    <xf numFmtId="0" fontId="58" fillId="24" borderId="22" xfId="0" applyFont="1" applyFill="1" applyBorder="1" applyAlignment="1" applyProtection="1">
      <alignment horizontal="center" vertical="center" wrapText="1"/>
    </xf>
    <xf numFmtId="0" fontId="58" fillId="24" borderId="34" xfId="0" applyFont="1" applyFill="1" applyBorder="1" applyAlignment="1" applyProtection="1">
      <alignment horizontal="center" vertical="center" wrapText="1"/>
    </xf>
    <xf numFmtId="178" fontId="20" fillId="24" borderId="0" xfId="0" applyNumberFormat="1" applyFont="1" applyFill="1" applyAlignment="1" applyProtection="1">
      <alignment horizontal="center" vertical="center"/>
    </xf>
    <xf numFmtId="180" fontId="57" fillId="24" borderId="13" xfId="0" applyNumberFormat="1" applyFont="1" applyFill="1" applyBorder="1" applyAlignment="1" applyProtection="1">
      <alignment horizontal="right" vertical="center" wrapText="1"/>
    </xf>
    <xf numFmtId="0" fontId="78" fillId="24" borderId="24" xfId="0" applyFont="1" applyFill="1" applyBorder="1" applyAlignment="1" applyProtection="1">
      <alignment horizontal="center" vertical="center" wrapText="1"/>
    </xf>
    <xf numFmtId="10" fontId="93" fillId="24" borderId="22" xfId="0" applyNumberFormat="1" applyFont="1" applyFill="1" applyBorder="1" applyAlignment="1" applyProtection="1">
      <alignment horizontal="center" vertical="center" wrapText="1"/>
    </xf>
    <xf numFmtId="10" fontId="93" fillId="24" borderId="34" xfId="0" applyNumberFormat="1" applyFont="1" applyFill="1" applyBorder="1" applyAlignment="1" applyProtection="1">
      <alignment horizontal="center" vertical="center" wrapText="1"/>
    </xf>
    <xf numFmtId="0" fontId="47" fillId="24" borderId="38" xfId="0" applyFont="1" applyFill="1" applyBorder="1" applyAlignment="1" applyProtection="1">
      <alignment horizontal="left" vertical="center"/>
    </xf>
    <xf numFmtId="0" fontId="47" fillId="24" borderId="24" xfId="0" applyFont="1" applyFill="1" applyBorder="1" applyAlignment="1" applyProtection="1">
      <alignment horizontal="left" vertical="center"/>
    </xf>
    <xf numFmtId="0" fontId="93" fillId="24" borderId="22" xfId="0" applyFont="1" applyFill="1" applyBorder="1" applyAlignment="1" applyProtection="1">
      <alignment horizontal="center" vertical="center" wrapText="1"/>
    </xf>
    <xf numFmtId="0" fontId="93" fillId="24" borderId="23" xfId="0" applyFont="1" applyFill="1" applyBorder="1" applyAlignment="1" applyProtection="1">
      <alignment horizontal="center" vertical="center" wrapText="1"/>
    </xf>
    <xf numFmtId="0" fontId="93" fillId="24" borderId="34" xfId="0" applyFont="1" applyFill="1" applyBorder="1" applyAlignment="1" applyProtection="1">
      <alignment horizontal="center" vertical="center" wrapText="1"/>
    </xf>
    <xf numFmtId="0" fontId="58" fillId="24" borderId="23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vertical="center"/>
    </xf>
    <xf numFmtId="0" fontId="20" fillId="24" borderId="0" xfId="0" applyFont="1" applyFill="1" applyBorder="1" applyAlignment="1" applyProtection="1">
      <alignment vertical="center"/>
    </xf>
    <xf numFmtId="2" fontId="92" fillId="24" borderId="23" xfId="0" applyNumberFormat="1" applyFont="1" applyFill="1" applyBorder="1" applyProtection="1"/>
    <xf numFmtId="2" fontId="92" fillId="24" borderId="34" xfId="0" applyNumberFormat="1" applyFont="1" applyFill="1" applyBorder="1" applyProtection="1"/>
    <xf numFmtId="0" fontId="102" fillId="0" borderId="25" xfId="0" applyFont="1" applyFill="1" applyBorder="1" applyAlignment="1" applyProtection="1">
      <alignment horizontal="left" vertical="center" wrapText="1"/>
    </xf>
    <xf numFmtId="0" fontId="102" fillId="0" borderId="0" xfId="0" applyFont="1" applyFill="1" applyBorder="1" applyAlignment="1" applyProtection="1">
      <alignment horizontal="left" vertical="center" wrapText="1"/>
    </xf>
    <xf numFmtId="171" fontId="63" fillId="24" borderId="0" xfId="52" applyFont="1" applyFill="1" applyBorder="1" applyAlignment="1" applyProtection="1">
      <alignment horizontal="center" vertical="center"/>
    </xf>
    <xf numFmtId="49" fontId="63" fillId="24" borderId="0" xfId="52" applyNumberFormat="1" applyFont="1" applyFill="1" applyBorder="1" applyAlignment="1" applyProtection="1">
      <alignment horizontal="center"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Moeda 7" xfId="32"/>
    <cellStyle name="Moeda 8" xfId="33"/>
    <cellStyle name="Moeda 9" xfId="34"/>
    <cellStyle name="Moeda_Planilha Padrão de Preço de Serviços-GR" xfId="35"/>
    <cellStyle name="Neutra" xfId="36" builtinId="28" customBuiltin="1"/>
    <cellStyle name="Normal" xfId="0" builtinId="0"/>
    <cellStyle name="Normal 2" xfId="37"/>
    <cellStyle name="Normal 3" xfId="38"/>
    <cellStyle name="Normal 5" xfId="39"/>
    <cellStyle name="Normal_Plan1" xfId="40"/>
    <cellStyle name="Normal_Plan3_Uniforme e EPI" xfId="41"/>
    <cellStyle name="Normal_Plan4_Material" xfId="42"/>
    <cellStyle name="Normal_Plan4_Uniforme e EPI" xfId="43"/>
    <cellStyle name="Normal_Plan5" xfId="44"/>
    <cellStyle name="Normal_Plan5_DE" xfId="45"/>
    <cellStyle name="Normal_Plan6" xfId="46"/>
    <cellStyle name="Normal_Plan7" xfId="47"/>
    <cellStyle name="Normal_Plan8_DG" xfId="48"/>
    <cellStyle name="Nota" xfId="49" builtinId="10" customBuiltin="1"/>
    <cellStyle name="Porcentagem" xfId="50" builtinId="5"/>
    <cellStyle name="Saída" xfId="51" builtinId="21" customBuiltin="1"/>
    <cellStyle name="Separador de milhares" xfId="52" builtinId="3"/>
    <cellStyle name="Texto de Aviso" xfId="53" builtinId="11" customBuiltin="1"/>
    <cellStyle name="Texto Explicativo" xfId="54" builtinId="53" customBuiltin="1"/>
    <cellStyle name="Título" xfId="55" builtinId="15" customBuiltin="1"/>
    <cellStyle name="Título 1" xfId="56" builtinId="16" customBuiltin="1"/>
    <cellStyle name="Título 2" xfId="57" builtinId="17" customBuiltin="1"/>
    <cellStyle name="Título 3" xfId="58" builtinId="18" customBuiltin="1"/>
    <cellStyle name="Título 4" xfId="59" builtinId="19" customBuiltin="1"/>
    <cellStyle name="Total" xfId="60" builtinId="25" customBuiltin="1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3</xdr:col>
      <xdr:colOff>152400</xdr:colOff>
      <xdr:row>1</xdr:row>
      <xdr:rowOff>600075</xdr:rowOff>
    </xdr:to>
    <xdr:pic>
      <xdr:nvPicPr>
        <xdr:cNvPr id="42006" name="Picture 8" descr="LOGO INFRAER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04775"/>
          <a:ext cx="876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tp://s_sean17/integracao/Publico/DALC/LEGISLACAO/Instrucao_Normativa_SRF_162.htm.htm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tp://s_sean17/integracao/Publico/DALC/LEGISLACAO/Instrucao_Normativa_SRF_162.htm.htm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 fitToPage="1"/>
  </sheetPr>
  <dimension ref="B1:Q22"/>
  <sheetViews>
    <sheetView showGridLines="0" showZeros="0" workbookViewId="0">
      <selection activeCell="X6" sqref="X6"/>
    </sheetView>
  </sheetViews>
  <sheetFormatPr defaultRowHeight="12.75"/>
  <cols>
    <col min="1" max="1" width="1.7109375" style="863" customWidth="1"/>
    <col min="2" max="2" width="30.7109375" style="864" customWidth="1"/>
    <col min="3" max="17" width="4.42578125" style="863" customWidth="1"/>
    <col min="18" max="16384" width="9.140625" style="863"/>
  </cols>
  <sheetData>
    <row r="1" spans="2:17" ht="9" customHeight="1"/>
    <row r="2" spans="2:17" ht="18" customHeight="1" thickBot="1">
      <c r="B2" s="865" t="s">
        <v>255</v>
      </c>
      <c r="C2" s="988" t="s">
        <v>605</v>
      </c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90"/>
    </row>
    <row r="3" spans="2:17" ht="8.25" customHeight="1"/>
    <row r="4" spans="2:17" ht="45" customHeight="1" thickBot="1">
      <c r="B4" s="864" t="s">
        <v>247</v>
      </c>
      <c r="C4" s="1000" t="s">
        <v>698</v>
      </c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2"/>
    </row>
    <row r="5" spans="2:17" ht="9" customHeight="1"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</row>
    <row r="6" spans="2:17" ht="18" customHeight="1" thickBot="1">
      <c r="B6" s="864" t="s">
        <v>248</v>
      </c>
      <c r="C6" s="1003" t="s">
        <v>699</v>
      </c>
      <c r="D6" s="1004"/>
      <c r="E6" s="1004"/>
      <c r="F6" s="1005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</row>
    <row r="7" spans="2:17" ht="9" customHeight="1"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</row>
    <row r="8" spans="2:17" ht="75" customHeight="1" thickBot="1">
      <c r="B8" s="864" t="s">
        <v>32</v>
      </c>
      <c r="C8" s="988" t="s">
        <v>700</v>
      </c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90"/>
    </row>
    <row r="9" spans="2:17" ht="9" customHeight="1"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</row>
    <row r="10" spans="2:17" ht="45" customHeight="1" thickBot="1">
      <c r="B10" s="864" t="s">
        <v>31</v>
      </c>
      <c r="C10" s="988" t="s">
        <v>701</v>
      </c>
      <c r="D10" s="989"/>
      <c r="E10" s="989"/>
      <c r="F10" s="989"/>
      <c r="G10" s="989"/>
      <c r="H10" s="989"/>
      <c r="I10" s="989"/>
      <c r="J10" s="989"/>
      <c r="K10" s="989"/>
      <c r="L10" s="989"/>
      <c r="M10" s="989"/>
      <c r="N10" s="989"/>
      <c r="O10" s="989"/>
      <c r="P10" s="989"/>
      <c r="Q10" s="990"/>
    </row>
    <row r="11" spans="2:17" ht="9" customHeight="1"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</row>
    <row r="12" spans="2:17" ht="18" customHeight="1" thickBot="1">
      <c r="B12" s="864" t="s">
        <v>8</v>
      </c>
      <c r="C12" s="991" t="s">
        <v>28</v>
      </c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3"/>
    </row>
    <row r="13" spans="2:17" ht="8.25" customHeight="1"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</row>
    <row r="14" spans="2:17" ht="18" customHeight="1" thickBot="1">
      <c r="B14" s="864" t="s">
        <v>35</v>
      </c>
      <c r="C14" s="991" t="s">
        <v>246</v>
      </c>
      <c r="D14" s="992"/>
      <c r="E14" s="992"/>
      <c r="F14" s="992"/>
      <c r="G14" s="992"/>
      <c r="H14" s="992"/>
      <c r="I14" s="992"/>
      <c r="J14" s="992"/>
      <c r="K14" s="992"/>
      <c r="L14" s="992"/>
      <c r="M14" s="992"/>
      <c r="N14" s="992"/>
      <c r="O14" s="992"/>
      <c r="P14" s="992"/>
      <c r="Q14" s="993"/>
    </row>
    <row r="15" spans="2:17" ht="9" customHeight="1"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6"/>
      <c r="N15" s="866"/>
      <c r="O15" s="866"/>
      <c r="P15" s="866"/>
      <c r="Q15" s="866"/>
    </row>
    <row r="16" spans="2:17" ht="18" customHeight="1" thickBot="1">
      <c r="B16" s="864" t="s">
        <v>33</v>
      </c>
      <c r="C16" s="997">
        <v>12</v>
      </c>
      <c r="D16" s="998"/>
      <c r="E16" s="998"/>
      <c r="F16" s="999"/>
      <c r="G16" s="867" t="s">
        <v>7</v>
      </c>
      <c r="H16" s="868"/>
      <c r="I16" s="868"/>
      <c r="J16" s="868"/>
      <c r="K16" s="868"/>
      <c r="L16" s="868"/>
      <c r="M16" s="868"/>
      <c r="N16" s="868"/>
      <c r="O16" s="868"/>
      <c r="P16" s="868"/>
      <c r="Q16" s="868"/>
    </row>
    <row r="17" spans="2:17" ht="9" customHeight="1"/>
    <row r="18" spans="2:17" ht="18" customHeight="1" thickBot="1">
      <c r="B18" s="864" t="s">
        <v>229</v>
      </c>
      <c r="C18" s="994"/>
      <c r="D18" s="995"/>
      <c r="E18" s="995"/>
      <c r="F18" s="996"/>
    </row>
    <row r="19" spans="2:17" ht="9" customHeight="1">
      <c r="D19" s="869"/>
    </row>
    <row r="20" spans="2:17" ht="75" customHeight="1" thickBot="1">
      <c r="B20" s="867" t="s">
        <v>256</v>
      </c>
      <c r="C20" s="991"/>
      <c r="D20" s="992"/>
      <c r="E20" s="992"/>
      <c r="F20" s="992"/>
      <c r="G20" s="992"/>
      <c r="H20" s="992"/>
      <c r="I20" s="992"/>
      <c r="J20" s="992"/>
      <c r="K20" s="992"/>
      <c r="L20" s="992"/>
      <c r="M20" s="992"/>
      <c r="N20" s="992"/>
      <c r="O20" s="992"/>
      <c r="P20" s="992"/>
      <c r="Q20" s="993"/>
    </row>
    <row r="21" spans="2:17" ht="9" customHeight="1"/>
    <row r="22" spans="2:17" ht="45" customHeight="1" thickBot="1">
      <c r="B22" s="867" t="s">
        <v>257</v>
      </c>
      <c r="C22" s="988" t="s">
        <v>606</v>
      </c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990"/>
    </row>
  </sheetData>
  <sheetProtection password="CADB" sheet="1" objects="1" scenarios="1" formatColumns="0" formatRows="0"/>
  <mergeCells count="11">
    <mergeCell ref="C2:Q2"/>
    <mergeCell ref="C4:Q4"/>
    <mergeCell ref="C8:Q8"/>
    <mergeCell ref="C10:Q10"/>
    <mergeCell ref="C6:F6"/>
    <mergeCell ref="C22:Q22"/>
    <mergeCell ref="C20:Q20"/>
    <mergeCell ref="C18:F18"/>
    <mergeCell ref="C16:F16"/>
    <mergeCell ref="C14:Q14"/>
    <mergeCell ref="C12:Q12"/>
  </mergeCells>
  <phoneticPr fontId="3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3" orientation="portrait" horizontalDpi="4294967294" r:id="rId1"/>
  <headerFooter alignWithMargins="0">
    <oddFooter>&amp;L&amp;A&amp;R&amp;F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A1:S351"/>
  <sheetViews>
    <sheetView showGridLines="0" showZeros="0" zoomScale="95" zoomScaleNormal="95" workbookViewId="0">
      <pane ySplit="9" topLeftCell="A10" activePane="bottomLeft" state="frozenSplit"/>
      <selection activeCell="C6" sqref="C6:Q6"/>
      <selection pane="bottomLeft" activeCell="A10" sqref="A10"/>
    </sheetView>
  </sheetViews>
  <sheetFormatPr defaultRowHeight="12.75"/>
  <cols>
    <col min="1" max="1" width="0.5703125" style="448" customWidth="1"/>
    <col min="2" max="2" width="3" style="517" bestFit="1" customWidth="1"/>
    <col min="3" max="3" width="37.85546875" style="448" customWidth="1"/>
    <col min="4" max="4" width="6.140625" style="448" customWidth="1"/>
    <col min="5" max="5" width="5.42578125" style="448" customWidth="1"/>
    <col min="6" max="6" width="11.7109375" style="448" customWidth="1"/>
    <col min="7" max="7" width="1" style="448" customWidth="1"/>
    <col min="8" max="8" width="10.7109375" style="448" customWidth="1"/>
    <col min="9" max="9" width="1" style="448" customWidth="1"/>
    <col min="10" max="10" width="9.85546875" style="448" customWidth="1"/>
    <col min="11" max="11" width="9.42578125" style="448" customWidth="1"/>
    <col min="12" max="12" width="1" style="448" customWidth="1"/>
    <col min="13" max="13" width="11.5703125" style="448" customWidth="1"/>
    <col min="14" max="14" width="1" style="448" customWidth="1"/>
    <col min="15" max="15" width="11.28515625" style="448" customWidth="1"/>
    <col min="16" max="16" width="1" style="448" customWidth="1"/>
    <col min="17" max="17" width="10.7109375" style="448" customWidth="1"/>
    <col min="18" max="18" width="1" style="448" customWidth="1"/>
    <col min="19" max="19" width="10.7109375" style="448" customWidth="1"/>
    <col min="20" max="16384" width="9.140625" style="448"/>
  </cols>
  <sheetData>
    <row r="1" spans="1:19" ht="6.75" customHeight="1"/>
    <row r="2" spans="1:19" s="447" customFormat="1" ht="25.5" customHeight="1">
      <c r="A2" s="484"/>
      <c r="B2" s="518"/>
      <c r="C2" s="862" t="s">
        <v>181</v>
      </c>
    </row>
    <row r="3" spans="1:19" ht="8.25" customHeight="1"/>
    <row r="4" spans="1:19" s="453" customFormat="1" ht="21.75" customHeight="1" thickBot="1">
      <c r="B4" s="517"/>
      <c r="C4" s="1081" t="s">
        <v>13</v>
      </c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2"/>
      <c r="P4" s="1082"/>
      <c r="Q4" s="1082"/>
      <c r="R4" s="1082"/>
      <c r="S4" s="1083"/>
    </row>
    <row r="5" spans="1:19" s="453" customFormat="1" ht="6" customHeight="1">
      <c r="B5" s="517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6"/>
      <c r="O5" s="526"/>
      <c r="P5" s="526"/>
      <c r="Q5" s="526"/>
      <c r="R5" s="526"/>
      <c r="S5" s="526"/>
    </row>
    <row r="6" spans="1:19" s="453" customFormat="1" ht="33.75" customHeight="1" thickBot="1">
      <c r="B6" s="517"/>
      <c r="C6" s="532" t="s">
        <v>104</v>
      </c>
      <c r="D6" s="533" t="s">
        <v>107</v>
      </c>
      <c r="E6" s="534" t="s">
        <v>66</v>
      </c>
      <c r="F6" s="533" t="s">
        <v>103</v>
      </c>
      <c r="G6" s="534"/>
      <c r="H6" s="533" t="s">
        <v>130</v>
      </c>
      <c r="I6" s="534"/>
      <c r="J6" s="533" t="s">
        <v>506</v>
      </c>
      <c r="K6" s="535" t="s">
        <v>180</v>
      </c>
      <c r="L6" s="536"/>
      <c r="M6" s="533" t="s">
        <v>106</v>
      </c>
      <c r="N6" s="534"/>
      <c r="O6" s="533" t="s">
        <v>105</v>
      </c>
      <c r="P6" s="537"/>
      <c r="Q6" s="487" t="s">
        <v>5</v>
      </c>
      <c r="R6" s="536"/>
      <c r="S6" s="492" t="s">
        <v>14</v>
      </c>
    </row>
    <row r="7" spans="1:19" s="453" customFormat="1" ht="3.75" customHeight="1">
      <c r="B7" s="517"/>
      <c r="C7" s="519"/>
      <c r="D7" s="520"/>
      <c r="E7" s="519"/>
      <c r="F7" s="520"/>
      <c r="G7" s="519"/>
      <c r="H7" s="519"/>
      <c r="I7" s="519"/>
      <c r="J7" s="520"/>
      <c r="K7" s="482"/>
      <c r="L7" s="521"/>
      <c r="M7" s="520"/>
      <c r="N7" s="519"/>
      <c r="O7" s="520"/>
      <c r="P7" s="3"/>
      <c r="Q7" s="480"/>
      <c r="S7" s="480"/>
    </row>
    <row r="8" spans="1:19" s="453" customFormat="1" ht="17.25" customHeight="1" thickBot="1">
      <c r="B8" s="517"/>
      <c r="C8" s="519"/>
      <c r="D8" s="520"/>
      <c r="E8" s="519"/>
      <c r="F8" s="520"/>
      <c r="G8" s="519"/>
      <c r="H8" s="519"/>
      <c r="I8" s="519"/>
      <c r="J8" s="520"/>
      <c r="K8" s="482"/>
      <c r="L8" s="521"/>
      <c r="M8" s="520"/>
      <c r="N8" s="519"/>
      <c r="O8" s="515">
        <f>TRUNC((SUM(O13:O337)),2)</f>
        <v>495.31</v>
      </c>
      <c r="P8" s="3"/>
      <c r="Q8" s="480"/>
      <c r="S8" s="515">
        <f>TRUNC((SUM(S13:S337)),2)</f>
        <v>1844.57</v>
      </c>
    </row>
    <row r="9" spans="1:19" s="453" customFormat="1" ht="7.5" customHeight="1">
      <c r="B9" s="517"/>
      <c r="C9" s="519"/>
      <c r="D9" s="520"/>
      <c r="E9" s="519"/>
      <c r="F9" s="520"/>
      <c r="G9" s="519"/>
      <c r="H9" s="519"/>
      <c r="I9" s="519"/>
      <c r="J9" s="520"/>
      <c r="K9" s="482"/>
      <c r="L9" s="521"/>
      <c r="M9" s="520"/>
      <c r="N9" s="519"/>
      <c r="O9" s="520"/>
      <c r="P9" s="3"/>
      <c r="Q9" s="480"/>
      <c r="S9" s="480"/>
    </row>
    <row r="10" spans="1:19" s="453" customFormat="1" ht="15" customHeight="1">
      <c r="B10" s="517"/>
      <c r="C10" s="527" t="s">
        <v>27</v>
      </c>
      <c r="D10" s="520"/>
      <c r="E10" s="519"/>
      <c r="F10" s="520"/>
      <c r="G10" s="519"/>
      <c r="H10" s="519"/>
      <c r="I10" s="519"/>
      <c r="J10" s="520"/>
      <c r="K10" s="482"/>
      <c r="L10" s="521"/>
      <c r="M10" s="520"/>
      <c r="N10" s="519"/>
      <c r="O10" s="520"/>
      <c r="P10" s="522"/>
      <c r="Q10" s="480"/>
      <c r="S10" s="480"/>
    </row>
    <row r="11" spans="1:19" s="453" customFormat="1" ht="3.75" customHeight="1">
      <c r="B11" s="517"/>
      <c r="C11" s="519"/>
      <c r="D11" s="520"/>
      <c r="E11" s="519"/>
      <c r="F11" s="520"/>
      <c r="G11" s="519"/>
      <c r="H11" s="519"/>
      <c r="I11" s="519"/>
      <c r="J11" s="520"/>
      <c r="K11" s="482"/>
      <c r="L11" s="521"/>
      <c r="M11" s="520"/>
      <c r="N11" s="519"/>
      <c r="O11" s="520"/>
      <c r="P11" s="3"/>
      <c r="Q11" s="480"/>
      <c r="S11" s="480"/>
    </row>
    <row r="12" spans="1:19" s="523" customFormat="1" ht="10.5" customHeight="1">
      <c r="C12" s="538">
        <v>1</v>
      </c>
      <c r="D12" s="538">
        <v>2</v>
      </c>
      <c r="E12" s="538">
        <v>3</v>
      </c>
      <c r="F12" s="538">
        <v>4</v>
      </c>
      <c r="G12" s="524"/>
      <c r="H12" s="538">
        <v>5</v>
      </c>
      <c r="I12" s="524"/>
      <c r="J12" s="538">
        <v>6</v>
      </c>
      <c r="K12" s="538">
        <v>7</v>
      </c>
      <c r="L12" s="524"/>
      <c r="M12" s="539">
        <v>8</v>
      </c>
      <c r="O12" s="539">
        <v>9</v>
      </c>
      <c r="Q12" s="539">
        <v>10</v>
      </c>
      <c r="S12" s="539">
        <v>11</v>
      </c>
    </row>
    <row r="13" spans="1:19" s="453" customFormat="1" ht="12">
      <c r="B13" s="517">
        <v>1</v>
      </c>
      <c r="C13" s="977" t="s">
        <v>687</v>
      </c>
      <c r="D13" s="978">
        <v>2012</v>
      </c>
      <c r="E13" s="978">
        <v>1</v>
      </c>
      <c r="F13" s="500">
        <v>95191.25</v>
      </c>
      <c r="G13" s="35">
        <f t="shared" ref="G13:G76" si="0">F13*E13</f>
        <v>95191.25</v>
      </c>
      <c r="H13" s="511">
        <f>IF(Consolidado_A!$G$133=7.6%,-(0.0165+0.076)*F13,0)</f>
        <v>-8805.1906249999993</v>
      </c>
      <c r="I13" s="35">
        <f t="shared" ref="I13:I76" si="1">H13*E13</f>
        <v>-8805.1906249999993</v>
      </c>
      <c r="J13" s="530">
        <v>56667</v>
      </c>
      <c r="K13" s="506">
        <v>60</v>
      </c>
      <c r="M13" s="513">
        <f t="shared" ref="M13:M76" si="2">IF(E13&gt;0,(F13+H13)-J13,0)</f>
        <v>29719.059374999997</v>
      </c>
      <c r="N13" s="3"/>
      <c r="O13" s="513">
        <f t="shared" ref="O13:O76" si="3">IF(E13=0,0,(M13/K13)*E13)</f>
        <v>495.31765624999997</v>
      </c>
      <c r="Q13" s="500">
        <f>DOV!R31</f>
        <v>1844.5732506930001</v>
      </c>
      <c r="S13" s="513">
        <f t="shared" ref="S13:S76" si="4">Q13*E13</f>
        <v>1844.5732506930001</v>
      </c>
    </row>
    <row r="14" spans="1:19" s="453" customFormat="1" ht="12">
      <c r="B14" s="517">
        <v>2</v>
      </c>
      <c r="C14" s="528"/>
      <c r="D14" s="498"/>
      <c r="E14" s="498"/>
      <c r="F14" s="500"/>
      <c r="G14" s="35">
        <f t="shared" si="0"/>
        <v>0</v>
      </c>
      <c r="H14" s="511">
        <f>IF(Consolidado_A!$G$133=7.6%,-(0.0165+0.076)*F14,0)</f>
        <v>0</v>
      </c>
      <c r="I14" s="35">
        <f t="shared" si="1"/>
        <v>0</v>
      </c>
      <c r="J14" s="530"/>
      <c r="K14" s="506"/>
      <c r="M14" s="513">
        <f t="shared" si="2"/>
        <v>0</v>
      </c>
      <c r="N14" s="3"/>
      <c r="O14" s="513">
        <f t="shared" si="3"/>
        <v>0</v>
      </c>
      <c r="Q14" s="500"/>
      <c r="S14" s="513">
        <f t="shared" si="4"/>
        <v>0</v>
      </c>
    </row>
    <row r="15" spans="1:19" s="453" customFormat="1" ht="12">
      <c r="B15" s="517">
        <v>3</v>
      </c>
      <c r="C15" s="528"/>
      <c r="D15" s="498"/>
      <c r="E15" s="498"/>
      <c r="F15" s="500"/>
      <c r="G15" s="35">
        <f t="shared" si="0"/>
        <v>0</v>
      </c>
      <c r="H15" s="511">
        <f>IF(Consolidado_A!$G$133=7.6%,-(0.0165+0.076)*F15,0)</f>
        <v>0</v>
      </c>
      <c r="I15" s="35">
        <f t="shared" si="1"/>
        <v>0</v>
      </c>
      <c r="J15" s="530"/>
      <c r="K15" s="506"/>
      <c r="M15" s="513">
        <f t="shared" si="2"/>
        <v>0</v>
      </c>
      <c r="N15" s="3"/>
      <c r="O15" s="513">
        <f t="shared" si="3"/>
        <v>0</v>
      </c>
      <c r="Q15" s="500"/>
      <c r="S15" s="513">
        <f t="shared" si="4"/>
        <v>0</v>
      </c>
    </row>
    <row r="16" spans="1:19" s="453" customFormat="1" ht="12">
      <c r="B16" s="517">
        <v>4</v>
      </c>
      <c r="C16" s="528"/>
      <c r="D16" s="498"/>
      <c r="E16" s="498"/>
      <c r="F16" s="500"/>
      <c r="G16" s="35">
        <f t="shared" si="0"/>
        <v>0</v>
      </c>
      <c r="H16" s="511">
        <f>IF(Consolidado_A!$G$133=7.6%,-(0.0165+0.076)*F16,0)</f>
        <v>0</v>
      </c>
      <c r="I16" s="35">
        <f t="shared" si="1"/>
        <v>0</v>
      </c>
      <c r="J16" s="530"/>
      <c r="K16" s="506"/>
      <c r="M16" s="513">
        <f t="shared" si="2"/>
        <v>0</v>
      </c>
      <c r="N16" s="3"/>
      <c r="O16" s="513">
        <f t="shared" si="3"/>
        <v>0</v>
      </c>
      <c r="Q16" s="500"/>
      <c r="S16" s="513">
        <f t="shared" si="4"/>
        <v>0</v>
      </c>
    </row>
    <row r="17" spans="2:19" s="453" customFormat="1" ht="12">
      <c r="B17" s="517">
        <v>5</v>
      </c>
      <c r="C17" s="528"/>
      <c r="D17" s="498"/>
      <c r="E17" s="498"/>
      <c r="F17" s="500"/>
      <c r="G17" s="35">
        <f t="shared" si="0"/>
        <v>0</v>
      </c>
      <c r="H17" s="511">
        <f>IF(Consolidado_A!$G$133=7.6%,-(0.0165+0.076)*F17,0)</f>
        <v>0</v>
      </c>
      <c r="I17" s="35">
        <f t="shared" si="1"/>
        <v>0</v>
      </c>
      <c r="J17" s="530"/>
      <c r="K17" s="506"/>
      <c r="M17" s="513">
        <f t="shared" si="2"/>
        <v>0</v>
      </c>
      <c r="N17" s="3"/>
      <c r="O17" s="513">
        <f t="shared" si="3"/>
        <v>0</v>
      </c>
      <c r="Q17" s="500"/>
      <c r="S17" s="513">
        <f t="shared" si="4"/>
        <v>0</v>
      </c>
    </row>
    <row r="18" spans="2:19" s="453" customFormat="1" ht="12">
      <c r="B18" s="517">
        <v>6</v>
      </c>
      <c r="C18" s="528"/>
      <c r="D18" s="498"/>
      <c r="E18" s="498"/>
      <c r="F18" s="500"/>
      <c r="G18" s="35">
        <f t="shared" si="0"/>
        <v>0</v>
      </c>
      <c r="H18" s="511">
        <f>IF(Consolidado_A!$G$133=7.6%,-(0.0165+0.076)*F18,0)</f>
        <v>0</v>
      </c>
      <c r="I18" s="35">
        <f t="shared" si="1"/>
        <v>0</v>
      </c>
      <c r="J18" s="530"/>
      <c r="K18" s="506"/>
      <c r="M18" s="513">
        <f t="shared" si="2"/>
        <v>0</v>
      </c>
      <c r="N18" s="3"/>
      <c r="O18" s="513">
        <f t="shared" si="3"/>
        <v>0</v>
      </c>
      <c r="Q18" s="500"/>
      <c r="S18" s="513">
        <f t="shared" si="4"/>
        <v>0</v>
      </c>
    </row>
    <row r="19" spans="2:19" s="453" customFormat="1" ht="12">
      <c r="B19" s="517">
        <v>7</v>
      </c>
      <c r="C19" s="528"/>
      <c r="D19" s="498"/>
      <c r="E19" s="498"/>
      <c r="F19" s="500"/>
      <c r="G19" s="35">
        <f t="shared" si="0"/>
        <v>0</v>
      </c>
      <c r="H19" s="511">
        <f>IF(Consolidado_A!$G$133=7.6%,-(0.0165+0.076)*F19,0)</f>
        <v>0</v>
      </c>
      <c r="I19" s="35">
        <f t="shared" si="1"/>
        <v>0</v>
      </c>
      <c r="J19" s="530"/>
      <c r="K19" s="506"/>
      <c r="M19" s="513">
        <f t="shared" si="2"/>
        <v>0</v>
      </c>
      <c r="N19" s="3"/>
      <c r="O19" s="513">
        <f t="shared" si="3"/>
        <v>0</v>
      </c>
      <c r="Q19" s="500"/>
      <c r="S19" s="513">
        <f t="shared" si="4"/>
        <v>0</v>
      </c>
    </row>
    <row r="20" spans="2:19" s="453" customFormat="1" ht="12">
      <c r="B20" s="517">
        <v>8</v>
      </c>
      <c r="C20" s="528"/>
      <c r="D20" s="498"/>
      <c r="E20" s="498"/>
      <c r="F20" s="500"/>
      <c r="G20" s="35">
        <f t="shared" si="0"/>
        <v>0</v>
      </c>
      <c r="H20" s="511">
        <f>IF(Consolidado_A!$G$133=7.6%,-(0.0165+0.076)*F20,0)</f>
        <v>0</v>
      </c>
      <c r="I20" s="35">
        <f t="shared" si="1"/>
        <v>0</v>
      </c>
      <c r="J20" s="530"/>
      <c r="K20" s="506"/>
      <c r="M20" s="513">
        <f t="shared" si="2"/>
        <v>0</v>
      </c>
      <c r="N20" s="3"/>
      <c r="O20" s="513">
        <f t="shared" si="3"/>
        <v>0</v>
      </c>
      <c r="Q20" s="500"/>
      <c r="S20" s="513">
        <f t="shared" si="4"/>
        <v>0</v>
      </c>
    </row>
    <row r="21" spans="2:19" s="453" customFormat="1" ht="12">
      <c r="B21" s="517">
        <v>9</v>
      </c>
      <c r="C21" s="528"/>
      <c r="D21" s="498"/>
      <c r="E21" s="498"/>
      <c r="F21" s="500"/>
      <c r="G21" s="35">
        <f t="shared" si="0"/>
        <v>0</v>
      </c>
      <c r="H21" s="511">
        <f>IF(Consolidado_A!$G$133=7.6%,-(0.0165+0.076)*F21,0)</f>
        <v>0</v>
      </c>
      <c r="I21" s="35">
        <f t="shared" si="1"/>
        <v>0</v>
      </c>
      <c r="J21" s="530"/>
      <c r="K21" s="506"/>
      <c r="M21" s="513">
        <f t="shared" si="2"/>
        <v>0</v>
      </c>
      <c r="N21" s="3"/>
      <c r="O21" s="513">
        <f t="shared" si="3"/>
        <v>0</v>
      </c>
      <c r="Q21" s="500"/>
      <c r="S21" s="513">
        <f t="shared" si="4"/>
        <v>0</v>
      </c>
    </row>
    <row r="22" spans="2:19" s="453" customFormat="1" ht="12">
      <c r="B22" s="517">
        <v>10</v>
      </c>
      <c r="C22" s="528"/>
      <c r="D22" s="498"/>
      <c r="E22" s="498"/>
      <c r="F22" s="500"/>
      <c r="G22" s="35">
        <f t="shared" si="0"/>
        <v>0</v>
      </c>
      <c r="H22" s="511">
        <f>IF(Consolidado_A!$G$133=7.6%,-(0.0165+0.076)*F22,0)</f>
        <v>0</v>
      </c>
      <c r="I22" s="35">
        <f t="shared" si="1"/>
        <v>0</v>
      </c>
      <c r="J22" s="530"/>
      <c r="K22" s="506"/>
      <c r="M22" s="513">
        <f t="shared" si="2"/>
        <v>0</v>
      </c>
      <c r="N22" s="3"/>
      <c r="O22" s="513">
        <f t="shared" si="3"/>
        <v>0</v>
      </c>
      <c r="Q22" s="500"/>
      <c r="S22" s="513">
        <f t="shared" si="4"/>
        <v>0</v>
      </c>
    </row>
    <row r="23" spans="2:19" s="453" customFormat="1" ht="12">
      <c r="B23" s="517">
        <v>11</v>
      </c>
      <c r="C23" s="528"/>
      <c r="D23" s="498"/>
      <c r="E23" s="498"/>
      <c r="F23" s="500"/>
      <c r="G23" s="35">
        <f t="shared" si="0"/>
        <v>0</v>
      </c>
      <c r="H23" s="511">
        <f>IF(Consolidado_A!$G$133=7.6%,-(0.0165+0.076)*F23,0)</f>
        <v>0</v>
      </c>
      <c r="I23" s="35">
        <f t="shared" si="1"/>
        <v>0</v>
      </c>
      <c r="J23" s="530"/>
      <c r="K23" s="506"/>
      <c r="M23" s="513">
        <f t="shared" si="2"/>
        <v>0</v>
      </c>
      <c r="N23" s="3"/>
      <c r="O23" s="513">
        <f t="shared" si="3"/>
        <v>0</v>
      </c>
      <c r="Q23" s="500"/>
      <c r="S23" s="513">
        <f t="shared" si="4"/>
        <v>0</v>
      </c>
    </row>
    <row r="24" spans="2:19" s="453" customFormat="1" ht="12">
      <c r="B24" s="517">
        <v>12</v>
      </c>
      <c r="C24" s="528"/>
      <c r="D24" s="498"/>
      <c r="E24" s="498"/>
      <c r="F24" s="500"/>
      <c r="G24" s="35">
        <f t="shared" si="0"/>
        <v>0</v>
      </c>
      <c r="H24" s="511">
        <f>IF(Consolidado_A!$G$133=7.6%,-(0.0165+0.076)*F24,0)</f>
        <v>0</v>
      </c>
      <c r="I24" s="35">
        <f t="shared" si="1"/>
        <v>0</v>
      </c>
      <c r="J24" s="530"/>
      <c r="K24" s="506"/>
      <c r="M24" s="513">
        <f t="shared" si="2"/>
        <v>0</v>
      </c>
      <c r="N24" s="3"/>
      <c r="O24" s="513">
        <f t="shared" si="3"/>
        <v>0</v>
      </c>
      <c r="Q24" s="500"/>
      <c r="S24" s="513">
        <f t="shared" si="4"/>
        <v>0</v>
      </c>
    </row>
    <row r="25" spans="2:19" s="453" customFormat="1" ht="12">
      <c r="B25" s="517">
        <v>13</v>
      </c>
      <c r="C25" s="528"/>
      <c r="D25" s="498"/>
      <c r="E25" s="498"/>
      <c r="F25" s="500"/>
      <c r="G25" s="35">
        <f t="shared" si="0"/>
        <v>0</v>
      </c>
      <c r="H25" s="511">
        <f>IF(Consolidado_A!$G$133=7.6%,-(0.0165+0.076)*F25,0)</f>
        <v>0</v>
      </c>
      <c r="I25" s="35">
        <f t="shared" si="1"/>
        <v>0</v>
      </c>
      <c r="J25" s="530"/>
      <c r="K25" s="506"/>
      <c r="M25" s="513">
        <f t="shared" si="2"/>
        <v>0</v>
      </c>
      <c r="N25" s="3"/>
      <c r="O25" s="513">
        <f t="shared" si="3"/>
        <v>0</v>
      </c>
      <c r="Q25" s="500"/>
      <c r="S25" s="513">
        <f t="shared" si="4"/>
        <v>0</v>
      </c>
    </row>
    <row r="26" spans="2:19" s="453" customFormat="1" ht="12">
      <c r="B26" s="517">
        <v>14</v>
      </c>
      <c r="C26" s="528"/>
      <c r="D26" s="498"/>
      <c r="E26" s="498"/>
      <c r="F26" s="500"/>
      <c r="G26" s="35">
        <f t="shared" si="0"/>
        <v>0</v>
      </c>
      <c r="H26" s="511">
        <f>IF(Consolidado_A!$G$133=7.6%,-(0.0165+0.076)*F26,0)</f>
        <v>0</v>
      </c>
      <c r="I26" s="35">
        <f t="shared" si="1"/>
        <v>0</v>
      </c>
      <c r="J26" s="530"/>
      <c r="K26" s="506"/>
      <c r="M26" s="513">
        <f t="shared" si="2"/>
        <v>0</v>
      </c>
      <c r="N26" s="3"/>
      <c r="O26" s="513">
        <f t="shared" si="3"/>
        <v>0</v>
      </c>
      <c r="Q26" s="500"/>
      <c r="S26" s="513">
        <f t="shared" si="4"/>
        <v>0</v>
      </c>
    </row>
    <row r="27" spans="2:19" s="453" customFormat="1" ht="12">
      <c r="B27" s="517">
        <v>15</v>
      </c>
      <c r="C27" s="528"/>
      <c r="D27" s="498"/>
      <c r="E27" s="498"/>
      <c r="F27" s="500"/>
      <c r="G27" s="35">
        <f t="shared" si="0"/>
        <v>0</v>
      </c>
      <c r="H27" s="511">
        <f>IF(Consolidado_A!$G$133=7.6%,-(0.0165+0.076)*F27,0)</f>
        <v>0</v>
      </c>
      <c r="I27" s="35">
        <f t="shared" si="1"/>
        <v>0</v>
      </c>
      <c r="J27" s="530"/>
      <c r="K27" s="506"/>
      <c r="M27" s="513">
        <f t="shared" si="2"/>
        <v>0</v>
      </c>
      <c r="N27" s="3"/>
      <c r="O27" s="513">
        <f t="shared" si="3"/>
        <v>0</v>
      </c>
      <c r="Q27" s="500"/>
      <c r="S27" s="513">
        <f t="shared" si="4"/>
        <v>0</v>
      </c>
    </row>
    <row r="28" spans="2:19" s="453" customFormat="1" ht="12">
      <c r="B28" s="517">
        <v>16</v>
      </c>
      <c r="C28" s="528"/>
      <c r="D28" s="498"/>
      <c r="E28" s="498"/>
      <c r="F28" s="500"/>
      <c r="G28" s="35">
        <f t="shared" si="0"/>
        <v>0</v>
      </c>
      <c r="H28" s="511">
        <f>IF(Consolidado_A!$G$133=7.6%,-(0.0165+0.076)*F28,0)</f>
        <v>0</v>
      </c>
      <c r="I28" s="35">
        <f t="shared" si="1"/>
        <v>0</v>
      </c>
      <c r="J28" s="530"/>
      <c r="K28" s="506"/>
      <c r="M28" s="513">
        <f t="shared" si="2"/>
        <v>0</v>
      </c>
      <c r="N28" s="3"/>
      <c r="O28" s="513">
        <f t="shared" si="3"/>
        <v>0</v>
      </c>
      <c r="Q28" s="500"/>
      <c r="S28" s="513">
        <f t="shared" si="4"/>
        <v>0</v>
      </c>
    </row>
    <row r="29" spans="2:19" s="453" customFormat="1" ht="12">
      <c r="B29" s="517">
        <v>17</v>
      </c>
      <c r="C29" s="528"/>
      <c r="D29" s="498"/>
      <c r="E29" s="498"/>
      <c r="F29" s="500"/>
      <c r="G29" s="35">
        <f t="shared" si="0"/>
        <v>0</v>
      </c>
      <c r="H29" s="511">
        <f>IF(Consolidado_A!$G$133=7.6%,-(0.0165+0.076)*F29,0)</f>
        <v>0</v>
      </c>
      <c r="I29" s="35">
        <f t="shared" si="1"/>
        <v>0</v>
      </c>
      <c r="J29" s="530"/>
      <c r="K29" s="506"/>
      <c r="M29" s="513">
        <f t="shared" si="2"/>
        <v>0</v>
      </c>
      <c r="N29" s="3"/>
      <c r="O29" s="513">
        <f t="shared" si="3"/>
        <v>0</v>
      </c>
      <c r="Q29" s="500"/>
      <c r="S29" s="513">
        <f t="shared" si="4"/>
        <v>0</v>
      </c>
    </row>
    <row r="30" spans="2:19" s="453" customFormat="1" ht="12">
      <c r="B30" s="517">
        <v>18</v>
      </c>
      <c r="C30" s="528"/>
      <c r="D30" s="498"/>
      <c r="E30" s="498"/>
      <c r="F30" s="500"/>
      <c r="G30" s="35">
        <f t="shared" si="0"/>
        <v>0</v>
      </c>
      <c r="H30" s="511">
        <f>IF(Consolidado_A!$G$133=7.6%,-(0.0165+0.076)*F30,0)</f>
        <v>0</v>
      </c>
      <c r="I30" s="35">
        <f t="shared" si="1"/>
        <v>0</v>
      </c>
      <c r="J30" s="530"/>
      <c r="K30" s="506"/>
      <c r="M30" s="513">
        <f t="shared" si="2"/>
        <v>0</v>
      </c>
      <c r="N30" s="3"/>
      <c r="O30" s="513">
        <f t="shared" si="3"/>
        <v>0</v>
      </c>
      <c r="Q30" s="500"/>
      <c r="S30" s="513">
        <f t="shared" si="4"/>
        <v>0</v>
      </c>
    </row>
    <row r="31" spans="2:19" s="453" customFormat="1" ht="12">
      <c r="B31" s="517">
        <v>19</v>
      </c>
      <c r="C31" s="528"/>
      <c r="D31" s="498"/>
      <c r="E31" s="498"/>
      <c r="F31" s="500"/>
      <c r="G31" s="35">
        <f t="shared" si="0"/>
        <v>0</v>
      </c>
      <c r="H31" s="511">
        <f>IF(Consolidado_A!$G$133=7.6%,-(0.0165+0.076)*F31,0)</f>
        <v>0</v>
      </c>
      <c r="I31" s="35">
        <f t="shared" si="1"/>
        <v>0</v>
      </c>
      <c r="J31" s="530"/>
      <c r="K31" s="506"/>
      <c r="M31" s="513">
        <f t="shared" si="2"/>
        <v>0</v>
      </c>
      <c r="N31" s="3"/>
      <c r="O31" s="513">
        <f t="shared" si="3"/>
        <v>0</v>
      </c>
      <c r="Q31" s="500"/>
      <c r="S31" s="513">
        <f t="shared" si="4"/>
        <v>0</v>
      </c>
    </row>
    <row r="32" spans="2:19" s="453" customFormat="1" ht="12">
      <c r="B32" s="517">
        <v>20</v>
      </c>
      <c r="C32" s="528"/>
      <c r="D32" s="498"/>
      <c r="E32" s="498"/>
      <c r="F32" s="500"/>
      <c r="G32" s="35">
        <f t="shared" si="0"/>
        <v>0</v>
      </c>
      <c r="H32" s="511">
        <f>IF(Consolidado_A!$G$133=7.6%,-(0.0165+0.076)*F32,0)</f>
        <v>0</v>
      </c>
      <c r="I32" s="35">
        <f t="shared" si="1"/>
        <v>0</v>
      </c>
      <c r="J32" s="530"/>
      <c r="K32" s="506"/>
      <c r="M32" s="513">
        <f t="shared" si="2"/>
        <v>0</v>
      </c>
      <c r="N32" s="3"/>
      <c r="O32" s="513">
        <f t="shared" si="3"/>
        <v>0</v>
      </c>
      <c r="Q32" s="500"/>
      <c r="S32" s="513">
        <f t="shared" si="4"/>
        <v>0</v>
      </c>
    </row>
    <row r="33" spans="2:19" s="453" customFormat="1" ht="12">
      <c r="B33" s="517">
        <v>21</v>
      </c>
      <c r="C33" s="528"/>
      <c r="D33" s="498"/>
      <c r="E33" s="498"/>
      <c r="F33" s="500"/>
      <c r="G33" s="35">
        <f t="shared" si="0"/>
        <v>0</v>
      </c>
      <c r="H33" s="511">
        <f>IF(Consolidado_A!$G$133=7.6%,-(0.0165+0.076)*F33,0)</f>
        <v>0</v>
      </c>
      <c r="I33" s="35">
        <f t="shared" si="1"/>
        <v>0</v>
      </c>
      <c r="J33" s="530"/>
      <c r="K33" s="506"/>
      <c r="M33" s="513">
        <f t="shared" si="2"/>
        <v>0</v>
      </c>
      <c r="N33" s="3"/>
      <c r="O33" s="513">
        <f t="shared" si="3"/>
        <v>0</v>
      </c>
      <c r="Q33" s="500"/>
      <c r="S33" s="513">
        <f t="shared" si="4"/>
        <v>0</v>
      </c>
    </row>
    <row r="34" spans="2:19" s="453" customFormat="1" ht="12">
      <c r="B34" s="517">
        <v>22</v>
      </c>
      <c r="C34" s="528"/>
      <c r="D34" s="498"/>
      <c r="E34" s="498"/>
      <c r="F34" s="500"/>
      <c r="G34" s="35">
        <f t="shared" si="0"/>
        <v>0</v>
      </c>
      <c r="H34" s="511">
        <f>IF(Consolidado_A!$G$133=7.6%,-(0.0165+0.076)*F34,0)</f>
        <v>0</v>
      </c>
      <c r="I34" s="35">
        <f t="shared" si="1"/>
        <v>0</v>
      </c>
      <c r="J34" s="530"/>
      <c r="K34" s="506"/>
      <c r="M34" s="513">
        <f t="shared" si="2"/>
        <v>0</v>
      </c>
      <c r="N34" s="3"/>
      <c r="O34" s="513">
        <f t="shared" si="3"/>
        <v>0</v>
      </c>
      <c r="Q34" s="500"/>
      <c r="S34" s="513">
        <f t="shared" si="4"/>
        <v>0</v>
      </c>
    </row>
    <row r="35" spans="2:19" s="453" customFormat="1" ht="12">
      <c r="B35" s="517">
        <v>23</v>
      </c>
      <c r="C35" s="528"/>
      <c r="D35" s="498"/>
      <c r="E35" s="498"/>
      <c r="F35" s="500"/>
      <c r="G35" s="35">
        <f t="shared" si="0"/>
        <v>0</v>
      </c>
      <c r="H35" s="511">
        <f>IF(Consolidado_A!$G$133=7.6%,-(0.0165+0.076)*F35,0)</f>
        <v>0</v>
      </c>
      <c r="I35" s="35">
        <f t="shared" si="1"/>
        <v>0</v>
      </c>
      <c r="J35" s="530"/>
      <c r="K35" s="506"/>
      <c r="M35" s="513">
        <f t="shared" si="2"/>
        <v>0</v>
      </c>
      <c r="N35" s="3"/>
      <c r="O35" s="513">
        <f t="shared" si="3"/>
        <v>0</v>
      </c>
      <c r="Q35" s="500"/>
      <c r="S35" s="513">
        <f t="shared" si="4"/>
        <v>0</v>
      </c>
    </row>
    <row r="36" spans="2:19" s="453" customFormat="1" ht="12">
      <c r="B36" s="517">
        <v>24</v>
      </c>
      <c r="C36" s="528"/>
      <c r="D36" s="498"/>
      <c r="E36" s="498"/>
      <c r="F36" s="500"/>
      <c r="G36" s="35">
        <f t="shared" si="0"/>
        <v>0</v>
      </c>
      <c r="H36" s="511">
        <f>IF(Consolidado_A!$G$133=7.6%,-(0.0165+0.076)*F36,0)</f>
        <v>0</v>
      </c>
      <c r="I36" s="35">
        <f t="shared" si="1"/>
        <v>0</v>
      </c>
      <c r="J36" s="530"/>
      <c r="K36" s="506"/>
      <c r="M36" s="513">
        <f t="shared" si="2"/>
        <v>0</v>
      </c>
      <c r="N36" s="3"/>
      <c r="O36" s="513">
        <f t="shared" si="3"/>
        <v>0</v>
      </c>
      <c r="Q36" s="500"/>
      <c r="S36" s="513">
        <f t="shared" si="4"/>
        <v>0</v>
      </c>
    </row>
    <row r="37" spans="2:19" s="453" customFormat="1" ht="12">
      <c r="B37" s="517">
        <v>25</v>
      </c>
      <c r="C37" s="528"/>
      <c r="D37" s="498"/>
      <c r="E37" s="498"/>
      <c r="F37" s="500"/>
      <c r="G37" s="35">
        <f t="shared" si="0"/>
        <v>0</v>
      </c>
      <c r="H37" s="511">
        <f>IF(Consolidado_A!$G$133=7.6%,-(0.0165+0.076)*F37,0)</f>
        <v>0</v>
      </c>
      <c r="I37" s="35">
        <f t="shared" si="1"/>
        <v>0</v>
      </c>
      <c r="J37" s="530"/>
      <c r="K37" s="506"/>
      <c r="M37" s="513">
        <f t="shared" si="2"/>
        <v>0</v>
      </c>
      <c r="N37" s="3"/>
      <c r="O37" s="513">
        <f t="shared" si="3"/>
        <v>0</v>
      </c>
      <c r="Q37" s="500"/>
      <c r="S37" s="513">
        <f t="shared" si="4"/>
        <v>0</v>
      </c>
    </row>
    <row r="38" spans="2:19" s="453" customFormat="1" ht="12">
      <c r="B38" s="517">
        <v>26</v>
      </c>
      <c r="C38" s="528"/>
      <c r="D38" s="498"/>
      <c r="E38" s="498"/>
      <c r="F38" s="500"/>
      <c r="G38" s="35">
        <f t="shared" si="0"/>
        <v>0</v>
      </c>
      <c r="H38" s="511">
        <f>IF(Consolidado_A!$G$133=7.6%,-(0.0165+0.076)*F38,0)</f>
        <v>0</v>
      </c>
      <c r="I38" s="35">
        <f t="shared" si="1"/>
        <v>0</v>
      </c>
      <c r="J38" s="530"/>
      <c r="K38" s="506"/>
      <c r="M38" s="513">
        <f t="shared" si="2"/>
        <v>0</v>
      </c>
      <c r="N38" s="3"/>
      <c r="O38" s="513">
        <f t="shared" si="3"/>
        <v>0</v>
      </c>
      <c r="Q38" s="500"/>
      <c r="S38" s="513">
        <f t="shared" si="4"/>
        <v>0</v>
      </c>
    </row>
    <row r="39" spans="2:19" s="453" customFormat="1" ht="12">
      <c r="B39" s="517">
        <v>27</v>
      </c>
      <c r="C39" s="528"/>
      <c r="D39" s="498"/>
      <c r="E39" s="498"/>
      <c r="F39" s="500"/>
      <c r="G39" s="35">
        <f t="shared" si="0"/>
        <v>0</v>
      </c>
      <c r="H39" s="511">
        <f>IF(Consolidado_A!$G$133=7.6%,-(0.0165+0.076)*F39,0)</f>
        <v>0</v>
      </c>
      <c r="I39" s="35">
        <f t="shared" si="1"/>
        <v>0</v>
      </c>
      <c r="J39" s="530"/>
      <c r="K39" s="506"/>
      <c r="M39" s="513">
        <f t="shared" si="2"/>
        <v>0</v>
      </c>
      <c r="N39" s="3"/>
      <c r="O39" s="513">
        <f t="shared" si="3"/>
        <v>0</v>
      </c>
      <c r="Q39" s="500"/>
      <c r="S39" s="513">
        <f t="shared" si="4"/>
        <v>0</v>
      </c>
    </row>
    <row r="40" spans="2:19" s="453" customFormat="1" ht="12">
      <c r="B40" s="517">
        <v>28</v>
      </c>
      <c r="C40" s="528"/>
      <c r="D40" s="498"/>
      <c r="E40" s="498"/>
      <c r="F40" s="500"/>
      <c r="G40" s="35">
        <f t="shared" si="0"/>
        <v>0</v>
      </c>
      <c r="H40" s="511">
        <f>IF(Consolidado_A!$G$133=7.6%,-(0.0165+0.076)*F40,0)</f>
        <v>0</v>
      </c>
      <c r="I40" s="35">
        <f t="shared" si="1"/>
        <v>0</v>
      </c>
      <c r="J40" s="530"/>
      <c r="K40" s="506"/>
      <c r="M40" s="513">
        <f t="shared" si="2"/>
        <v>0</v>
      </c>
      <c r="N40" s="3"/>
      <c r="O40" s="513">
        <f t="shared" si="3"/>
        <v>0</v>
      </c>
      <c r="Q40" s="500"/>
      <c r="S40" s="513">
        <f t="shared" si="4"/>
        <v>0</v>
      </c>
    </row>
    <row r="41" spans="2:19" s="453" customFormat="1" ht="12">
      <c r="B41" s="517">
        <v>29</v>
      </c>
      <c r="C41" s="528"/>
      <c r="D41" s="498"/>
      <c r="E41" s="498"/>
      <c r="F41" s="500"/>
      <c r="G41" s="35">
        <f t="shared" si="0"/>
        <v>0</v>
      </c>
      <c r="H41" s="511">
        <f>IF(Consolidado_A!$G$133=7.6%,-(0.0165+0.076)*F41,0)</f>
        <v>0</v>
      </c>
      <c r="I41" s="35">
        <f t="shared" si="1"/>
        <v>0</v>
      </c>
      <c r="J41" s="530"/>
      <c r="K41" s="506"/>
      <c r="M41" s="513">
        <f t="shared" si="2"/>
        <v>0</v>
      </c>
      <c r="N41" s="3"/>
      <c r="O41" s="513">
        <f t="shared" si="3"/>
        <v>0</v>
      </c>
      <c r="Q41" s="500"/>
      <c r="S41" s="513">
        <f t="shared" si="4"/>
        <v>0</v>
      </c>
    </row>
    <row r="42" spans="2:19" s="453" customFormat="1" ht="12">
      <c r="B42" s="517">
        <v>30</v>
      </c>
      <c r="C42" s="528"/>
      <c r="D42" s="498"/>
      <c r="E42" s="498"/>
      <c r="F42" s="500"/>
      <c r="G42" s="35">
        <f t="shared" si="0"/>
        <v>0</v>
      </c>
      <c r="H42" s="511">
        <f>IF(Consolidado_A!$G$133=7.6%,-(0.0165+0.076)*F42,0)</f>
        <v>0</v>
      </c>
      <c r="I42" s="35">
        <f t="shared" si="1"/>
        <v>0</v>
      </c>
      <c r="J42" s="530"/>
      <c r="K42" s="506"/>
      <c r="M42" s="513">
        <f t="shared" si="2"/>
        <v>0</v>
      </c>
      <c r="N42" s="3"/>
      <c r="O42" s="513">
        <f t="shared" si="3"/>
        <v>0</v>
      </c>
      <c r="Q42" s="500"/>
      <c r="S42" s="513">
        <f t="shared" si="4"/>
        <v>0</v>
      </c>
    </row>
    <row r="43" spans="2:19" s="453" customFormat="1" ht="12">
      <c r="B43" s="517">
        <v>31</v>
      </c>
      <c r="C43" s="528"/>
      <c r="D43" s="498"/>
      <c r="E43" s="498"/>
      <c r="F43" s="500"/>
      <c r="G43" s="35">
        <f t="shared" si="0"/>
        <v>0</v>
      </c>
      <c r="H43" s="511">
        <f>IF(Consolidado_A!$G$133=7.6%,-(0.0165+0.076)*F43,0)</f>
        <v>0</v>
      </c>
      <c r="I43" s="35">
        <f t="shared" si="1"/>
        <v>0</v>
      </c>
      <c r="J43" s="530"/>
      <c r="K43" s="506"/>
      <c r="M43" s="513">
        <f t="shared" si="2"/>
        <v>0</v>
      </c>
      <c r="N43" s="3"/>
      <c r="O43" s="513">
        <f t="shared" si="3"/>
        <v>0</v>
      </c>
      <c r="Q43" s="500"/>
      <c r="S43" s="513">
        <f t="shared" si="4"/>
        <v>0</v>
      </c>
    </row>
    <row r="44" spans="2:19" s="453" customFormat="1" ht="12">
      <c r="B44" s="517">
        <v>32</v>
      </c>
      <c r="C44" s="528"/>
      <c r="D44" s="498"/>
      <c r="E44" s="498"/>
      <c r="F44" s="500"/>
      <c r="G44" s="35">
        <f t="shared" si="0"/>
        <v>0</v>
      </c>
      <c r="H44" s="511">
        <f>IF(Consolidado_A!$G$133=7.6%,-(0.0165+0.076)*F44,0)</f>
        <v>0</v>
      </c>
      <c r="I44" s="35">
        <f t="shared" si="1"/>
        <v>0</v>
      </c>
      <c r="J44" s="530"/>
      <c r="K44" s="506"/>
      <c r="M44" s="513">
        <f t="shared" si="2"/>
        <v>0</v>
      </c>
      <c r="N44" s="3"/>
      <c r="O44" s="513">
        <f t="shared" si="3"/>
        <v>0</v>
      </c>
      <c r="Q44" s="500"/>
      <c r="S44" s="513">
        <f t="shared" si="4"/>
        <v>0</v>
      </c>
    </row>
    <row r="45" spans="2:19" s="453" customFormat="1" ht="12">
      <c r="B45" s="517">
        <v>33</v>
      </c>
      <c r="C45" s="528"/>
      <c r="D45" s="498"/>
      <c r="E45" s="498"/>
      <c r="F45" s="500"/>
      <c r="G45" s="35">
        <f t="shared" si="0"/>
        <v>0</v>
      </c>
      <c r="H45" s="511">
        <f>IF(Consolidado_A!$G$133=7.6%,-(0.0165+0.076)*F45,0)</f>
        <v>0</v>
      </c>
      <c r="I45" s="35">
        <f t="shared" si="1"/>
        <v>0</v>
      </c>
      <c r="J45" s="530"/>
      <c r="K45" s="506"/>
      <c r="M45" s="513">
        <f t="shared" si="2"/>
        <v>0</v>
      </c>
      <c r="N45" s="3"/>
      <c r="O45" s="513">
        <f t="shared" si="3"/>
        <v>0</v>
      </c>
      <c r="Q45" s="500"/>
      <c r="S45" s="513">
        <f t="shared" si="4"/>
        <v>0</v>
      </c>
    </row>
    <row r="46" spans="2:19" s="453" customFormat="1" ht="12">
      <c r="B46" s="517">
        <v>34</v>
      </c>
      <c r="C46" s="528"/>
      <c r="D46" s="498"/>
      <c r="E46" s="498"/>
      <c r="F46" s="500"/>
      <c r="G46" s="35">
        <f t="shared" si="0"/>
        <v>0</v>
      </c>
      <c r="H46" s="511">
        <f>IF(Consolidado_A!$G$133=7.6%,-(0.0165+0.076)*F46,0)</f>
        <v>0</v>
      </c>
      <c r="I46" s="35">
        <f t="shared" si="1"/>
        <v>0</v>
      </c>
      <c r="J46" s="530"/>
      <c r="K46" s="506"/>
      <c r="M46" s="513">
        <f t="shared" si="2"/>
        <v>0</v>
      </c>
      <c r="N46" s="3"/>
      <c r="O46" s="513">
        <f t="shared" si="3"/>
        <v>0</v>
      </c>
      <c r="Q46" s="500"/>
      <c r="S46" s="513">
        <f t="shared" si="4"/>
        <v>0</v>
      </c>
    </row>
    <row r="47" spans="2:19" s="453" customFormat="1" ht="12">
      <c r="B47" s="517">
        <v>35</v>
      </c>
      <c r="C47" s="528"/>
      <c r="D47" s="498"/>
      <c r="E47" s="498"/>
      <c r="F47" s="500"/>
      <c r="G47" s="35">
        <f t="shared" si="0"/>
        <v>0</v>
      </c>
      <c r="H47" s="511">
        <f>IF(Consolidado_A!$G$133=7.6%,-(0.0165+0.076)*F47,0)</f>
        <v>0</v>
      </c>
      <c r="I47" s="35">
        <f t="shared" si="1"/>
        <v>0</v>
      </c>
      <c r="J47" s="530"/>
      <c r="K47" s="506"/>
      <c r="M47" s="513">
        <f t="shared" si="2"/>
        <v>0</v>
      </c>
      <c r="N47" s="3"/>
      <c r="O47" s="513">
        <f t="shared" si="3"/>
        <v>0</v>
      </c>
      <c r="Q47" s="500"/>
      <c r="S47" s="513">
        <f t="shared" si="4"/>
        <v>0</v>
      </c>
    </row>
    <row r="48" spans="2:19" s="453" customFormat="1" ht="12">
      <c r="B48" s="517">
        <v>36</v>
      </c>
      <c r="C48" s="528"/>
      <c r="D48" s="498"/>
      <c r="E48" s="498"/>
      <c r="F48" s="500"/>
      <c r="G48" s="35">
        <f t="shared" si="0"/>
        <v>0</v>
      </c>
      <c r="H48" s="511">
        <f>IF(Consolidado_A!$G$133=7.6%,-(0.0165+0.076)*F48,0)</f>
        <v>0</v>
      </c>
      <c r="I48" s="35">
        <f t="shared" si="1"/>
        <v>0</v>
      </c>
      <c r="J48" s="530"/>
      <c r="K48" s="506"/>
      <c r="M48" s="513">
        <f t="shared" si="2"/>
        <v>0</v>
      </c>
      <c r="N48" s="3"/>
      <c r="O48" s="513">
        <f t="shared" si="3"/>
        <v>0</v>
      </c>
      <c r="Q48" s="500"/>
      <c r="S48" s="513">
        <f t="shared" si="4"/>
        <v>0</v>
      </c>
    </row>
    <row r="49" spans="2:19" s="453" customFormat="1" ht="12">
      <c r="B49" s="517">
        <v>37</v>
      </c>
      <c r="C49" s="528"/>
      <c r="D49" s="498"/>
      <c r="E49" s="498"/>
      <c r="F49" s="500"/>
      <c r="G49" s="35">
        <f t="shared" si="0"/>
        <v>0</v>
      </c>
      <c r="H49" s="511">
        <f>IF(Consolidado_A!$G$133=7.6%,-(0.0165+0.076)*F49,0)</f>
        <v>0</v>
      </c>
      <c r="I49" s="35">
        <f t="shared" si="1"/>
        <v>0</v>
      </c>
      <c r="J49" s="530"/>
      <c r="K49" s="506"/>
      <c r="M49" s="513">
        <f t="shared" si="2"/>
        <v>0</v>
      </c>
      <c r="N49" s="3"/>
      <c r="O49" s="513">
        <f t="shared" si="3"/>
        <v>0</v>
      </c>
      <c r="Q49" s="500"/>
      <c r="S49" s="513">
        <f t="shared" si="4"/>
        <v>0</v>
      </c>
    </row>
    <row r="50" spans="2:19" s="453" customFormat="1" ht="12">
      <c r="B50" s="517">
        <v>38</v>
      </c>
      <c r="C50" s="528"/>
      <c r="D50" s="498"/>
      <c r="E50" s="498"/>
      <c r="F50" s="500"/>
      <c r="G50" s="35">
        <f t="shared" si="0"/>
        <v>0</v>
      </c>
      <c r="H50" s="511">
        <f>IF(Consolidado_A!$G$133=7.6%,-(0.0165+0.076)*F50,0)</f>
        <v>0</v>
      </c>
      <c r="I50" s="35">
        <f t="shared" si="1"/>
        <v>0</v>
      </c>
      <c r="J50" s="530"/>
      <c r="K50" s="506"/>
      <c r="M50" s="513">
        <f t="shared" si="2"/>
        <v>0</v>
      </c>
      <c r="N50" s="3"/>
      <c r="O50" s="513">
        <f t="shared" si="3"/>
        <v>0</v>
      </c>
      <c r="Q50" s="500"/>
      <c r="S50" s="513">
        <f t="shared" si="4"/>
        <v>0</v>
      </c>
    </row>
    <row r="51" spans="2:19" s="453" customFormat="1" ht="12">
      <c r="B51" s="517">
        <v>39</v>
      </c>
      <c r="C51" s="528"/>
      <c r="D51" s="498"/>
      <c r="E51" s="498"/>
      <c r="F51" s="500"/>
      <c r="G51" s="35">
        <f t="shared" si="0"/>
        <v>0</v>
      </c>
      <c r="H51" s="511">
        <f>IF(Consolidado_A!$G$133=7.6%,-(0.0165+0.076)*F51,0)</f>
        <v>0</v>
      </c>
      <c r="I51" s="35">
        <f t="shared" si="1"/>
        <v>0</v>
      </c>
      <c r="J51" s="530"/>
      <c r="K51" s="506"/>
      <c r="M51" s="513">
        <f t="shared" si="2"/>
        <v>0</v>
      </c>
      <c r="N51" s="3"/>
      <c r="O51" s="513">
        <f t="shared" si="3"/>
        <v>0</v>
      </c>
      <c r="Q51" s="500"/>
      <c r="S51" s="513">
        <f t="shared" si="4"/>
        <v>0</v>
      </c>
    </row>
    <row r="52" spans="2:19" s="453" customFormat="1" ht="12">
      <c r="B52" s="517">
        <v>40</v>
      </c>
      <c r="C52" s="528"/>
      <c r="D52" s="498"/>
      <c r="E52" s="498"/>
      <c r="F52" s="500"/>
      <c r="G52" s="35">
        <f t="shared" si="0"/>
        <v>0</v>
      </c>
      <c r="H52" s="511">
        <f>IF(Consolidado_A!$G$133=7.6%,-(0.0165+0.076)*F52,0)</f>
        <v>0</v>
      </c>
      <c r="I52" s="35">
        <f t="shared" si="1"/>
        <v>0</v>
      </c>
      <c r="J52" s="530"/>
      <c r="K52" s="506"/>
      <c r="M52" s="513">
        <f t="shared" si="2"/>
        <v>0</v>
      </c>
      <c r="N52" s="3"/>
      <c r="O52" s="513">
        <f t="shared" si="3"/>
        <v>0</v>
      </c>
      <c r="Q52" s="500"/>
      <c r="S52" s="513">
        <f t="shared" si="4"/>
        <v>0</v>
      </c>
    </row>
    <row r="53" spans="2:19" s="453" customFormat="1" ht="12">
      <c r="B53" s="517">
        <v>41</v>
      </c>
      <c r="C53" s="528"/>
      <c r="D53" s="498"/>
      <c r="E53" s="498"/>
      <c r="F53" s="500"/>
      <c r="G53" s="35">
        <f t="shared" si="0"/>
        <v>0</v>
      </c>
      <c r="H53" s="511">
        <f>IF(Consolidado_A!$G$133=7.6%,-(0.0165+0.076)*F53,0)</f>
        <v>0</v>
      </c>
      <c r="I53" s="35">
        <f t="shared" si="1"/>
        <v>0</v>
      </c>
      <c r="J53" s="530"/>
      <c r="K53" s="506"/>
      <c r="M53" s="513">
        <f t="shared" si="2"/>
        <v>0</v>
      </c>
      <c r="N53" s="3"/>
      <c r="O53" s="513">
        <f t="shared" si="3"/>
        <v>0</v>
      </c>
      <c r="Q53" s="500"/>
      <c r="S53" s="513">
        <f t="shared" si="4"/>
        <v>0</v>
      </c>
    </row>
    <row r="54" spans="2:19" s="453" customFormat="1" ht="12">
      <c r="B54" s="517">
        <v>42</v>
      </c>
      <c r="C54" s="528"/>
      <c r="D54" s="498"/>
      <c r="E54" s="498"/>
      <c r="F54" s="500"/>
      <c r="G54" s="35">
        <f t="shared" si="0"/>
        <v>0</v>
      </c>
      <c r="H54" s="511">
        <f>IF(Consolidado_A!$G$133=7.6%,-(0.0165+0.076)*F54,0)</f>
        <v>0</v>
      </c>
      <c r="I54" s="35">
        <f t="shared" si="1"/>
        <v>0</v>
      </c>
      <c r="J54" s="530"/>
      <c r="K54" s="506"/>
      <c r="M54" s="513">
        <f t="shared" si="2"/>
        <v>0</v>
      </c>
      <c r="N54" s="3"/>
      <c r="O54" s="513">
        <f t="shared" si="3"/>
        <v>0</v>
      </c>
      <c r="Q54" s="500"/>
      <c r="S54" s="513">
        <f t="shared" si="4"/>
        <v>0</v>
      </c>
    </row>
    <row r="55" spans="2:19" s="453" customFormat="1" ht="12">
      <c r="B55" s="517">
        <v>43</v>
      </c>
      <c r="C55" s="528"/>
      <c r="D55" s="498"/>
      <c r="E55" s="498"/>
      <c r="F55" s="500"/>
      <c r="G55" s="35">
        <f t="shared" si="0"/>
        <v>0</v>
      </c>
      <c r="H55" s="511">
        <f>IF(Consolidado_A!$G$133=7.6%,-(0.0165+0.076)*F55,0)</f>
        <v>0</v>
      </c>
      <c r="I55" s="35">
        <f t="shared" si="1"/>
        <v>0</v>
      </c>
      <c r="J55" s="530"/>
      <c r="K55" s="506"/>
      <c r="M55" s="513">
        <f t="shared" si="2"/>
        <v>0</v>
      </c>
      <c r="N55" s="3"/>
      <c r="O55" s="513">
        <f t="shared" si="3"/>
        <v>0</v>
      </c>
      <c r="Q55" s="500"/>
      <c r="S55" s="513">
        <f t="shared" si="4"/>
        <v>0</v>
      </c>
    </row>
    <row r="56" spans="2:19" s="453" customFormat="1" ht="12">
      <c r="B56" s="517">
        <v>44</v>
      </c>
      <c r="C56" s="528"/>
      <c r="D56" s="498"/>
      <c r="E56" s="498"/>
      <c r="F56" s="500"/>
      <c r="G56" s="35">
        <f t="shared" si="0"/>
        <v>0</v>
      </c>
      <c r="H56" s="511">
        <f>IF(Consolidado_A!$G$133=7.6%,-(0.0165+0.076)*F56,0)</f>
        <v>0</v>
      </c>
      <c r="I56" s="35">
        <f t="shared" si="1"/>
        <v>0</v>
      </c>
      <c r="J56" s="530"/>
      <c r="K56" s="506"/>
      <c r="M56" s="513">
        <f t="shared" si="2"/>
        <v>0</v>
      </c>
      <c r="N56" s="3"/>
      <c r="O56" s="513">
        <f t="shared" si="3"/>
        <v>0</v>
      </c>
      <c r="Q56" s="500"/>
      <c r="S56" s="513">
        <f t="shared" si="4"/>
        <v>0</v>
      </c>
    </row>
    <row r="57" spans="2:19" s="453" customFormat="1" ht="12">
      <c r="B57" s="517">
        <v>45</v>
      </c>
      <c r="C57" s="528"/>
      <c r="D57" s="498"/>
      <c r="E57" s="498"/>
      <c r="F57" s="500"/>
      <c r="G57" s="35">
        <f t="shared" si="0"/>
        <v>0</v>
      </c>
      <c r="H57" s="511">
        <f>IF(Consolidado_A!$G$133=7.6%,-(0.0165+0.076)*F57,0)</f>
        <v>0</v>
      </c>
      <c r="I57" s="35">
        <f t="shared" si="1"/>
        <v>0</v>
      </c>
      <c r="J57" s="530"/>
      <c r="K57" s="506"/>
      <c r="M57" s="513">
        <f t="shared" si="2"/>
        <v>0</v>
      </c>
      <c r="N57" s="3"/>
      <c r="O57" s="513">
        <f t="shared" si="3"/>
        <v>0</v>
      </c>
      <c r="Q57" s="500"/>
      <c r="S57" s="513">
        <f t="shared" si="4"/>
        <v>0</v>
      </c>
    </row>
    <row r="58" spans="2:19" s="453" customFormat="1" ht="12">
      <c r="B58" s="517">
        <v>46</v>
      </c>
      <c r="C58" s="528"/>
      <c r="D58" s="498"/>
      <c r="E58" s="498"/>
      <c r="F58" s="500"/>
      <c r="G58" s="35">
        <f t="shared" si="0"/>
        <v>0</v>
      </c>
      <c r="H58" s="511">
        <f>IF(Consolidado_A!$G$133=7.6%,-(0.0165+0.076)*F58,0)</f>
        <v>0</v>
      </c>
      <c r="I58" s="35">
        <f t="shared" si="1"/>
        <v>0</v>
      </c>
      <c r="J58" s="530"/>
      <c r="K58" s="506"/>
      <c r="M58" s="513">
        <f t="shared" si="2"/>
        <v>0</v>
      </c>
      <c r="N58" s="3"/>
      <c r="O58" s="513">
        <f t="shared" si="3"/>
        <v>0</v>
      </c>
      <c r="Q58" s="500"/>
      <c r="S58" s="513">
        <f t="shared" si="4"/>
        <v>0</v>
      </c>
    </row>
    <row r="59" spans="2:19" s="453" customFormat="1" ht="12">
      <c r="B59" s="517">
        <v>47</v>
      </c>
      <c r="C59" s="528"/>
      <c r="D59" s="498"/>
      <c r="E59" s="498"/>
      <c r="F59" s="500"/>
      <c r="G59" s="35">
        <f t="shared" si="0"/>
        <v>0</v>
      </c>
      <c r="H59" s="511">
        <f>IF(Consolidado_A!$G$133=7.6%,-(0.0165+0.076)*F59,0)</f>
        <v>0</v>
      </c>
      <c r="I59" s="35">
        <f t="shared" si="1"/>
        <v>0</v>
      </c>
      <c r="J59" s="530"/>
      <c r="K59" s="506"/>
      <c r="M59" s="513">
        <f t="shared" si="2"/>
        <v>0</v>
      </c>
      <c r="N59" s="3"/>
      <c r="O59" s="513">
        <f t="shared" si="3"/>
        <v>0</v>
      </c>
      <c r="Q59" s="500"/>
      <c r="S59" s="513">
        <f t="shared" si="4"/>
        <v>0</v>
      </c>
    </row>
    <row r="60" spans="2:19" s="453" customFormat="1" ht="12">
      <c r="B60" s="517">
        <v>48</v>
      </c>
      <c r="C60" s="528"/>
      <c r="D60" s="498"/>
      <c r="E60" s="498"/>
      <c r="F60" s="500"/>
      <c r="G60" s="35">
        <f t="shared" si="0"/>
        <v>0</v>
      </c>
      <c r="H60" s="511">
        <f>IF(Consolidado_A!$G$133=7.6%,-(0.0165+0.076)*F60,0)</f>
        <v>0</v>
      </c>
      <c r="I60" s="35">
        <f t="shared" si="1"/>
        <v>0</v>
      </c>
      <c r="J60" s="530"/>
      <c r="K60" s="506"/>
      <c r="M60" s="513">
        <f t="shared" si="2"/>
        <v>0</v>
      </c>
      <c r="N60" s="3"/>
      <c r="O60" s="513">
        <f t="shared" si="3"/>
        <v>0</v>
      </c>
      <c r="Q60" s="500"/>
      <c r="S60" s="513">
        <f t="shared" si="4"/>
        <v>0</v>
      </c>
    </row>
    <row r="61" spans="2:19" s="453" customFormat="1" ht="12">
      <c r="B61" s="517">
        <v>49</v>
      </c>
      <c r="C61" s="528"/>
      <c r="D61" s="498"/>
      <c r="E61" s="498"/>
      <c r="F61" s="500"/>
      <c r="G61" s="35">
        <f t="shared" si="0"/>
        <v>0</v>
      </c>
      <c r="H61" s="511">
        <f>IF(Consolidado_A!$G$133=7.6%,-(0.0165+0.076)*F61,0)</f>
        <v>0</v>
      </c>
      <c r="I61" s="35">
        <f t="shared" si="1"/>
        <v>0</v>
      </c>
      <c r="J61" s="530"/>
      <c r="K61" s="506"/>
      <c r="M61" s="513">
        <f t="shared" si="2"/>
        <v>0</v>
      </c>
      <c r="N61" s="3"/>
      <c r="O61" s="513">
        <f t="shared" si="3"/>
        <v>0</v>
      </c>
      <c r="Q61" s="500"/>
      <c r="S61" s="513">
        <f t="shared" si="4"/>
        <v>0</v>
      </c>
    </row>
    <row r="62" spans="2:19" s="453" customFormat="1" ht="12">
      <c r="B62" s="517">
        <v>50</v>
      </c>
      <c r="C62" s="528"/>
      <c r="D62" s="498"/>
      <c r="E62" s="498"/>
      <c r="F62" s="500"/>
      <c r="G62" s="35">
        <f t="shared" si="0"/>
        <v>0</v>
      </c>
      <c r="H62" s="511">
        <f>IF(Consolidado_A!$G$133=7.6%,-(0.0165+0.076)*F62,0)</f>
        <v>0</v>
      </c>
      <c r="I62" s="35">
        <f t="shared" si="1"/>
        <v>0</v>
      </c>
      <c r="J62" s="530"/>
      <c r="K62" s="506"/>
      <c r="M62" s="513">
        <f t="shared" si="2"/>
        <v>0</v>
      </c>
      <c r="N62" s="3"/>
      <c r="O62" s="513">
        <f t="shared" si="3"/>
        <v>0</v>
      </c>
      <c r="Q62" s="500"/>
      <c r="S62" s="513">
        <f t="shared" si="4"/>
        <v>0</v>
      </c>
    </row>
    <row r="63" spans="2:19" s="453" customFormat="1" ht="12">
      <c r="B63" s="517">
        <v>51</v>
      </c>
      <c r="C63" s="528"/>
      <c r="D63" s="498"/>
      <c r="E63" s="498"/>
      <c r="F63" s="500"/>
      <c r="G63" s="35">
        <f t="shared" si="0"/>
        <v>0</v>
      </c>
      <c r="H63" s="511">
        <f>IF(Consolidado_A!$G$133=7.6%,-(0.0165+0.076)*F63,0)</f>
        <v>0</v>
      </c>
      <c r="I63" s="35">
        <f t="shared" si="1"/>
        <v>0</v>
      </c>
      <c r="J63" s="530"/>
      <c r="K63" s="506"/>
      <c r="M63" s="513">
        <f t="shared" si="2"/>
        <v>0</v>
      </c>
      <c r="N63" s="3"/>
      <c r="O63" s="513">
        <f t="shared" si="3"/>
        <v>0</v>
      </c>
      <c r="Q63" s="500"/>
      <c r="S63" s="513">
        <f t="shared" si="4"/>
        <v>0</v>
      </c>
    </row>
    <row r="64" spans="2:19" s="453" customFormat="1" ht="12">
      <c r="B64" s="517">
        <v>52</v>
      </c>
      <c r="C64" s="528"/>
      <c r="D64" s="498"/>
      <c r="E64" s="498"/>
      <c r="F64" s="500"/>
      <c r="G64" s="35">
        <f t="shared" si="0"/>
        <v>0</v>
      </c>
      <c r="H64" s="511">
        <f>IF(Consolidado_A!$G$133=7.6%,-(0.0165+0.076)*F64,0)</f>
        <v>0</v>
      </c>
      <c r="I64" s="35">
        <f t="shared" si="1"/>
        <v>0</v>
      </c>
      <c r="J64" s="530"/>
      <c r="K64" s="506"/>
      <c r="M64" s="513">
        <f t="shared" si="2"/>
        <v>0</v>
      </c>
      <c r="N64" s="3"/>
      <c r="O64" s="513">
        <f t="shared" si="3"/>
        <v>0</v>
      </c>
      <c r="Q64" s="500"/>
      <c r="S64" s="513">
        <f t="shared" si="4"/>
        <v>0</v>
      </c>
    </row>
    <row r="65" spans="2:19" s="453" customFormat="1" ht="12">
      <c r="B65" s="517">
        <v>53</v>
      </c>
      <c r="C65" s="528"/>
      <c r="D65" s="498"/>
      <c r="E65" s="498"/>
      <c r="F65" s="500"/>
      <c r="G65" s="35">
        <f t="shared" si="0"/>
        <v>0</v>
      </c>
      <c r="H65" s="511">
        <f>IF(Consolidado_A!$G$133=7.6%,-(0.0165+0.076)*F65,0)</f>
        <v>0</v>
      </c>
      <c r="I65" s="35">
        <f t="shared" si="1"/>
        <v>0</v>
      </c>
      <c r="J65" s="530"/>
      <c r="K65" s="506"/>
      <c r="M65" s="513">
        <f t="shared" si="2"/>
        <v>0</v>
      </c>
      <c r="N65" s="3"/>
      <c r="O65" s="513">
        <f t="shared" si="3"/>
        <v>0</v>
      </c>
      <c r="Q65" s="500"/>
      <c r="S65" s="513">
        <f t="shared" si="4"/>
        <v>0</v>
      </c>
    </row>
    <row r="66" spans="2:19" s="453" customFormat="1" ht="12">
      <c r="B66" s="517">
        <v>54</v>
      </c>
      <c r="C66" s="528"/>
      <c r="D66" s="498"/>
      <c r="E66" s="498"/>
      <c r="F66" s="500"/>
      <c r="G66" s="35">
        <f t="shared" si="0"/>
        <v>0</v>
      </c>
      <c r="H66" s="511">
        <f>IF(Consolidado_A!$G$133=7.6%,-(0.0165+0.076)*F66,0)</f>
        <v>0</v>
      </c>
      <c r="I66" s="35">
        <f t="shared" si="1"/>
        <v>0</v>
      </c>
      <c r="J66" s="530"/>
      <c r="K66" s="506"/>
      <c r="M66" s="513">
        <f t="shared" si="2"/>
        <v>0</v>
      </c>
      <c r="N66" s="3"/>
      <c r="O66" s="513">
        <f t="shared" si="3"/>
        <v>0</v>
      </c>
      <c r="Q66" s="500"/>
      <c r="S66" s="513">
        <f t="shared" si="4"/>
        <v>0</v>
      </c>
    </row>
    <row r="67" spans="2:19" s="453" customFormat="1" ht="12">
      <c r="B67" s="517">
        <v>55</v>
      </c>
      <c r="C67" s="528"/>
      <c r="D67" s="498"/>
      <c r="E67" s="498"/>
      <c r="F67" s="500"/>
      <c r="G67" s="35">
        <f t="shared" si="0"/>
        <v>0</v>
      </c>
      <c r="H67" s="511">
        <f>IF(Consolidado_A!$G$133=7.6%,-(0.0165+0.076)*F67,0)</f>
        <v>0</v>
      </c>
      <c r="I67" s="35">
        <f t="shared" si="1"/>
        <v>0</v>
      </c>
      <c r="J67" s="530"/>
      <c r="K67" s="506"/>
      <c r="M67" s="513">
        <f t="shared" si="2"/>
        <v>0</v>
      </c>
      <c r="N67" s="3"/>
      <c r="O67" s="513">
        <f t="shared" si="3"/>
        <v>0</v>
      </c>
      <c r="Q67" s="500"/>
      <c r="S67" s="513">
        <f t="shared" si="4"/>
        <v>0</v>
      </c>
    </row>
    <row r="68" spans="2:19" s="453" customFormat="1" ht="12">
      <c r="B68" s="517">
        <v>56</v>
      </c>
      <c r="C68" s="528"/>
      <c r="D68" s="498"/>
      <c r="E68" s="498"/>
      <c r="F68" s="500"/>
      <c r="G68" s="35">
        <f t="shared" si="0"/>
        <v>0</v>
      </c>
      <c r="H68" s="511">
        <f>IF(Consolidado_A!$G$133=7.6%,-(0.0165+0.076)*F68,0)</f>
        <v>0</v>
      </c>
      <c r="I68" s="35">
        <f t="shared" si="1"/>
        <v>0</v>
      </c>
      <c r="J68" s="530"/>
      <c r="K68" s="506"/>
      <c r="M68" s="513">
        <f t="shared" si="2"/>
        <v>0</v>
      </c>
      <c r="N68" s="3"/>
      <c r="O68" s="513">
        <f t="shared" si="3"/>
        <v>0</v>
      </c>
      <c r="Q68" s="500"/>
      <c r="S68" s="513">
        <f t="shared" si="4"/>
        <v>0</v>
      </c>
    </row>
    <row r="69" spans="2:19" s="453" customFormat="1" ht="12">
      <c r="B69" s="517">
        <v>57</v>
      </c>
      <c r="C69" s="528"/>
      <c r="D69" s="498"/>
      <c r="E69" s="498"/>
      <c r="F69" s="500"/>
      <c r="G69" s="35">
        <f t="shared" si="0"/>
        <v>0</v>
      </c>
      <c r="H69" s="511">
        <f>IF(Consolidado_A!$G$133=7.6%,-(0.0165+0.076)*F69,0)</f>
        <v>0</v>
      </c>
      <c r="I69" s="35">
        <f t="shared" si="1"/>
        <v>0</v>
      </c>
      <c r="J69" s="530"/>
      <c r="K69" s="506"/>
      <c r="M69" s="513">
        <f t="shared" si="2"/>
        <v>0</v>
      </c>
      <c r="N69" s="3"/>
      <c r="O69" s="513">
        <f t="shared" si="3"/>
        <v>0</v>
      </c>
      <c r="Q69" s="500"/>
      <c r="S69" s="513">
        <f t="shared" si="4"/>
        <v>0</v>
      </c>
    </row>
    <row r="70" spans="2:19" s="453" customFormat="1" ht="12">
      <c r="B70" s="517">
        <v>58</v>
      </c>
      <c r="C70" s="528"/>
      <c r="D70" s="498"/>
      <c r="E70" s="498"/>
      <c r="F70" s="500"/>
      <c r="G70" s="35">
        <f t="shared" si="0"/>
        <v>0</v>
      </c>
      <c r="H70" s="511">
        <f>IF(Consolidado_A!$G$133=7.6%,-(0.0165+0.076)*F70,0)</f>
        <v>0</v>
      </c>
      <c r="I70" s="35">
        <f t="shared" si="1"/>
        <v>0</v>
      </c>
      <c r="J70" s="530"/>
      <c r="K70" s="506"/>
      <c r="M70" s="513">
        <f t="shared" si="2"/>
        <v>0</v>
      </c>
      <c r="N70" s="3"/>
      <c r="O70" s="513">
        <f t="shared" si="3"/>
        <v>0</v>
      </c>
      <c r="Q70" s="500"/>
      <c r="S70" s="513">
        <f t="shared" si="4"/>
        <v>0</v>
      </c>
    </row>
    <row r="71" spans="2:19" s="453" customFormat="1" ht="12">
      <c r="B71" s="517">
        <v>59</v>
      </c>
      <c r="C71" s="528"/>
      <c r="D71" s="498"/>
      <c r="E71" s="498"/>
      <c r="F71" s="500"/>
      <c r="G71" s="35">
        <f t="shared" si="0"/>
        <v>0</v>
      </c>
      <c r="H71" s="511">
        <f>IF(Consolidado_A!$G$133=7.6%,-(0.0165+0.076)*F71,0)</f>
        <v>0</v>
      </c>
      <c r="I71" s="35">
        <f t="shared" si="1"/>
        <v>0</v>
      </c>
      <c r="J71" s="530"/>
      <c r="K71" s="506"/>
      <c r="M71" s="513">
        <f t="shared" si="2"/>
        <v>0</v>
      </c>
      <c r="N71" s="3"/>
      <c r="O71" s="513">
        <f t="shared" si="3"/>
        <v>0</v>
      </c>
      <c r="Q71" s="500"/>
      <c r="S71" s="513">
        <f t="shared" si="4"/>
        <v>0</v>
      </c>
    </row>
    <row r="72" spans="2:19" s="453" customFormat="1" ht="12">
      <c r="B72" s="517">
        <v>60</v>
      </c>
      <c r="C72" s="528"/>
      <c r="D72" s="498"/>
      <c r="E72" s="498"/>
      <c r="F72" s="500"/>
      <c r="G72" s="35">
        <f t="shared" si="0"/>
        <v>0</v>
      </c>
      <c r="H72" s="511">
        <f>IF(Consolidado_A!$G$133=7.6%,-(0.0165+0.076)*F72,0)</f>
        <v>0</v>
      </c>
      <c r="I72" s="35">
        <f t="shared" si="1"/>
        <v>0</v>
      </c>
      <c r="J72" s="530"/>
      <c r="K72" s="506"/>
      <c r="M72" s="513">
        <f t="shared" si="2"/>
        <v>0</v>
      </c>
      <c r="N72" s="3"/>
      <c r="O72" s="513">
        <f t="shared" si="3"/>
        <v>0</v>
      </c>
      <c r="Q72" s="500"/>
      <c r="S72" s="513">
        <f t="shared" si="4"/>
        <v>0</v>
      </c>
    </row>
    <row r="73" spans="2:19" s="453" customFormat="1" ht="12">
      <c r="B73" s="517">
        <v>61</v>
      </c>
      <c r="C73" s="528"/>
      <c r="D73" s="498"/>
      <c r="E73" s="498"/>
      <c r="F73" s="500"/>
      <c r="G73" s="35">
        <f t="shared" si="0"/>
        <v>0</v>
      </c>
      <c r="H73" s="511">
        <f>IF(Consolidado_A!$G$133=7.6%,-(0.0165+0.076)*F73,0)</f>
        <v>0</v>
      </c>
      <c r="I73" s="35">
        <f t="shared" si="1"/>
        <v>0</v>
      </c>
      <c r="J73" s="530"/>
      <c r="K73" s="506"/>
      <c r="M73" s="513">
        <f t="shared" si="2"/>
        <v>0</v>
      </c>
      <c r="N73" s="3"/>
      <c r="O73" s="513">
        <f t="shared" si="3"/>
        <v>0</v>
      </c>
      <c r="Q73" s="500"/>
      <c r="S73" s="513">
        <f t="shared" si="4"/>
        <v>0</v>
      </c>
    </row>
    <row r="74" spans="2:19" s="453" customFormat="1" ht="12">
      <c r="B74" s="517">
        <v>62</v>
      </c>
      <c r="C74" s="528"/>
      <c r="D74" s="498"/>
      <c r="E74" s="498"/>
      <c r="F74" s="500"/>
      <c r="G74" s="35">
        <f t="shared" si="0"/>
        <v>0</v>
      </c>
      <c r="H74" s="511">
        <f>IF(Consolidado_A!$G$133=7.6%,-(0.0165+0.076)*F74,0)</f>
        <v>0</v>
      </c>
      <c r="I74" s="35">
        <f t="shared" si="1"/>
        <v>0</v>
      </c>
      <c r="J74" s="530"/>
      <c r="K74" s="506"/>
      <c r="M74" s="513">
        <f t="shared" si="2"/>
        <v>0</v>
      </c>
      <c r="N74" s="3"/>
      <c r="O74" s="513">
        <f t="shared" si="3"/>
        <v>0</v>
      </c>
      <c r="Q74" s="500"/>
      <c r="S74" s="513">
        <f t="shared" si="4"/>
        <v>0</v>
      </c>
    </row>
    <row r="75" spans="2:19" s="453" customFormat="1" ht="12">
      <c r="B75" s="517">
        <v>63</v>
      </c>
      <c r="C75" s="528"/>
      <c r="D75" s="498"/>
      <c r="E75" s="498"/>
      <c r="F75" s="500"/>
      <c r="G75" s="35">
        <f t="shared" si="0"/>
        <v>0</v>
      </c>
      <c r="H75" s="511">
        <f>IF(Consolidado_A!$G$133=7.6%,-(0.0165+0.076)*F75,0)</f>
        <v>0</v>
      </c>
      <c r="I75" s="35">
        <f t="shared" si="1"/>
        <v>0</v>
      </c>
      <c r="J75" s="530"/>
      <c r="K75" s="506"/>
      <c r="M75" s="513">
        <f t="shared" si="2"/>
        <v>0</v>
      </c>
      <c r="N75" s="3"/>
      <c r="O75" s="513">
        <f t="shared" si="3"/>
        <v>0</v>
      </c>
      <c r="Q75" s="500"/>
      <c r="S75" s="513">
        <f t="shared" si="4"/>
        <v>0</v>
      </c>
    </row>
    <row r="76" spans="2:19" s="453" customFormat="1" ht="12">
      <c r="B76" s="517">
        <v>64</v>
      </c>
      <c r="C76" s="528"/>
      <c r="D76" s="498"/>
      <c r="E76" s="498"/>
      <c r="F76" s="500"/>
      <c r="G76" s="35">
        <f t="shared" si="0"/>
        <v>0</v>
      </c>
      <c r="H76" s="511">
        <f>IF(Consolidado_A!$G$133=7.6%,-(0.0165+0.076)*F76,0)</f>
        <v>0</v>
      </c>
      <c r="I76" s="35">
        <f t="shared" si="1"/>
        <v>0</v>
      </c>
      <c r="J76" s="530"/>
      <c r="K76" s="506"/>
      <c r="M76" s="513">
        <f t="shared" si="2"/>
        <v>0</v>
      </c>
      <c r="N76" s="3"/>
      <c r="O76" s="513">
        <f t="shared" si="3"/>
        <v>0</v>
      </c>
      <c r="Q76" s="500"/>
      <c r="S76" s="513">
        <f t="shared" si="4"/>
        <v>0</v>
      </c>
    </row>
    <row r="77" spans="2:19" s="453" customFormat="1" ht="12">
      <c r="B77" s="517">
        <v>65</v>
      </c>
      <c r="C77" s="528"/>
      <c r="D77" s="498"/>
      <c r="E77" s="498"/>
      <c r="F77" s="500"/>
      <c r="G77" s="35">
        <f t="shared" ref="G77:G140" si="5">F77*E77</f>
        <v>0</v>
      </c>
      <c r="H77" s="511">
        <f>IF(Consolidado_A!$G$133=7.6%,-(0.0165+0.076)*F77,0)</f>
        <v>0</v>
      </c>
      <c r="I77" s="35">
        <f t="shared" ref="I77:I140" si="6">H77*E77</f>
        <v>0</v>
      </c>
      <c r="J77" s="530"/>
      <c r="K77" s="506"/>
      <c r="M77" s="513">
        <f t="shared" ref="M77:M140" si="7">IF(E77&gt;0,(F77+H77)-J77,0)</f>
        <v>0</v>
      </c>
      <c r="N77" s="3"/>
      <c r="O77" s="513">
        <f t="shared" ref="O77:O140" si="8">IF(E77=0,0,(M77/K77)*E77)</f>
        <v>0</v>
      </c>
      <c r="Q77" s="500"/>
      <c r="S77" s="513">
        <f t="shared" ref="S77:S140" si="9">Q77*E77</f>
        <v>0</v>
      </c>
    </row>
    <row r="78" spans="2:19" s="453" customFormat="1" ht="12">
      <c r="B78" s="517">
        <v>66</v>
      </c>
      <c r="C78" s="528"/>
      <c r="D78" s="498"/>
      <c r="E78" s="498"/>
      <c r="F78" s="500"/>
      <c r="G78" s="35">
        <f t="shared" si="5"/>
        <v>0</v>
      </c>
      <c r="H78" s="511">
        <f>IF(Consolidado_A!$G$133=7.6%,-(0.0165+0.076)*F78,0)</f>
        <v>0</v>
      </c>
      <c r="I78" s="35">
        <f t="shared" si="6"/>
        <v>0</v>
      </c>
      <c r="J78" s="530"/>
      <c r="K78" s="506"/>
      <c r="M78" s="513">
        <f t="shared" si="7"/>
        <v>0</v>
      </c>
      <c r="N78" s="3"/>
      <c r="O78" s="513">
        <f t="shared" si="8"/>
        <v>0</v>
      </c>
      <c r="Q78" s="500"/>
      <c r="S78" s="513">
        <f t="shared" si="9"/>
        <v>0</v>
      </c>
    </row>
    <row r="79" spans="2:19" s="453" customFormat="1" ht="12">
      <c r="B79" s="517">
        <v>67</v>
      </c>
      <c r="C79" s="528"/>
      <c r="D79" s="498"/>
      <c r="E79" s="498"/>
      <c r="F79" s="500"/>
      <c r="G79" s="35">
        <f t="shared" si="5"/>
        <v>0</v>
      </c>
      <c r="H79" s="511">
        <f>IF(Consolidado_A!$G$133=7.6%,-(0.0165+0.076)*F79,0)</f>
        <v>0</v>
      </c>
      <c r="I79" s="35">
        <f t="shared" si="6"/>
        <v>0</v>
      </c>
      <c r="J79" s="530"/>
      <c r="K79" s="506"/>
      <c r="M79" s="513">
        <f t="shared" si="7"/>
        <v>0</v>
      </c>
      <c r="N79" s="3"/>
      <c r="O79" s="513">
        <f t="shared" si="8"/>
        <v>0</v>
      </c>
      <c r="Q79" s="500"/>
      <c r="S79" s="513">
        <f t="shared" si="9"/>
        <v>0</v>
      </c>
    </row>
    <row r="80" spans="2:19" s="453" customFormat="1" ht="12">
      <c r="B80" s="517">
        <v>68</v>
      </c>
      <c r="C80" s="528"/>
      <c r="D80" s="498"/>
      <c r="E80" s="498"/>
      <c r="F80" s="500"/>
      <c r="G80" s="35">
        <f t="shared" si="5"/>
        <v>0</v>
      </c>
      <c r="H80" s="511">
        <f>IF(Consolidado_A!$G$133=7.6%,-(0.0165+0.076)*F80,0)</f>
        <v>0</v>
      </c>
      <c r="I80" s="35">
        <f t="shared" si="6"/>
        <v>0</v>
      </c>
      <c r="J80" s="530"/>
      <c r="K80" s="506"/>
      <c r="M80" s="513">
        <f t="shared" si="7"/>
        <v>0</v>
      </c>
      <c r="N80" s="3"/>
      <c r="O80" s="513">
        <f t="shared" si="8"/>
        <v>0</v>
      </c>
      <c r="Q80" s="500"/>
      <c r="S80" s="513">
        <f t="shared" si="9"/>
        <v>0</v>
      </c>
    </row>
    <row r="81" spans="2:19" s="453" customFormat="1" ht="12">
      <c r="B81" s="517">
        <v>69</v>
      </c>
      <c r="C81" s="528"/>
      <c r="D81" s="498"/>
      <c r="E81" s="498"/>
      <c r="F81" s="500"/>
      <c r="G81" s="35">
        <f t="shared" si="5"/>
        <v>0</v>
      </c>
      <c r="H81" s="511">
        <f>IF(Consolidado_A!$G$133=7.6%,-(0.0165+0.076)*F81,0)</f>
        <v>0</v>
      </c>
      <c r="I81" s="35">
        <f t="shared" si="6"/>
        <v>0</v>
      </c>
      <c r="J81" s="530"/>
      <c r="K81" s="506"/>
      <c r="M81" s="513">
        <f t="shared" si="7"/>
        <v>0</v>
      </c>
      <c r="N81" s="3"/>
      <c r="O81" s="513">
        <f t="shared" si="8"/>
        <v>0</v>
      </c>
      <c r="Q81" s="500"/>
      <c r="S81" s="513">
        <f t="shared" si="9"/>
        <v>0</v>
      </c>
    </row>
    <row r="82" spans="2:19" s="453" customFormat="1" ht="12">
      <c r="B82" s="517">
        <v>70</v>
      </c>
      <c r="C82" s="528"/>
      <c r="D82" s="498"/>
      <c r="E82" s="498"/>
      <c r="F82" s="500"/>
      <c r="G82" s="35">
        <f t="shared" si="5"/>
        <v>0</v>
      </c>
      <c r="H82" s="511">
        <f>IF(Consolidado_A!$G$133=7.6%,-(0.0165+0.076)*F82,0)</f>
        <v>0</v>
      </c>
      <c r="I82" s="35">
        <f t="shared" si="6"/>
        <v>0</v>
      </c>
      <c r="J82" s="530"/>
      <c r="K82" s="506"/>
      <c r="M82" s="513">
        <f t="shared" si="7"/>
        <v>0</v>
      </c>
      <c r="N82" s="3"/>
      <c r="O82" s="513">
        <f t="shared" si="8"/>
        <v>0</v>
      </c>
      <c r="Q82" s="500"/>
      <c r="S82" s="513">
        <f t="shared" si="9"/>
        <v>0</v>
      </c>
    </row>
    <row r="83" spans="2:19" s="453" customFormat="1" ht="12">
      <c r="B83" s="517">
        <v>71</v>
      </c>
      <c r="C83" s="528"/>
      <c r="D83" s="498"/>
      <c r="E83" s="498"/>
      <c r="F83" s="500"/>
      <c r="G83" s="35">
        <f t="shared" si="5"/>
        <v>0</v>
      </c>
      <c r="H83" s="511">
        <f>IF(Consolidado_A!$G$133=7.6%,-(0.0165+0.076)*F83,0)</f>
        <v>0</v>
      </c>
      <c r="I83" s="35">
        <f t="shared" si="6"/>
        <v>0</v>
      </c>
      <c r="J83" s="530"/>
      <c r="K83" s="506"/>
      <c r="M83" s="513">
        <f t="shared" si="7"/>
        <v>0</v>
      </c>
      <c r="N83" s="3"/>
      <c r="O83" s="513">
        <f t="shared" si="8"/>
        <v>0</v>
      </c>
      <c r="Q83" s="500"/>
      <c r="S83" s="513">
        <f t="shared" si="9"/>
        <v>0</v>
      </c>
    </row>
    <row r="84" spans="2:19" s="453" customFormat="1" ht="12">
      <c r="B84" s="517">
        <v>72</v>
      </c>
      <c r="C84" s="528"/>
      <c r="D84" s="498"/>
      <c r="E84" s="498"/>
      <c r="F84" s="500"/>
      <c r="G84" s="35">
        <f t="shared" si="5"/>
        <v>0</v>
      </c>
      <c r="H84" s="511">
        <f>IF(Consolidado_A!$G$133=7.6%,-(0.0165+0.076)*F84,0)</f>
        <v>0</v>
      </c>
      <c r="I84" s="35">
        <f t="shared" si="6"/>
        <v>0</v>
      </c>
      <c r="J84" s="530"/>
      <c r="K84" s="506"/>
      <c r="M84" s="513">
        <f t="shared" si="7"/>
        <v>0</v>
      </c>
      <c r="N84" s="3"/>
      <c r="O84" s="513">
        <f t="shared" si="8"/>
        <v>0</v>
      </c>
      <c r="Q84" s="500"/>
      <c r="S84" s="513">
        <f t="shared" si="9"/>
        <v>0</v>
      </c>
    </row>
    <row r="85" spans="2:19" s="453" customFormat="1" ht="12">
      <c r="B85" s="517">
        <v>73</v>
      </c>
      <c r="C85" s="528"/>
      <c r="D85" s="498"/>
      <c r="E85" s="498"/>
      <c r="F85" s="500"/>
      <c r="G85" s="35">
        <f t="shared" si="5"/>
        <v>0</v>
      </c>
      <c r="H85" s="511">
        <f>IF(Consolidado_A!$G$133=7.6%,-(0.0165+0.076)*F85,0)</f>
        <v>0</v>
      </c>
      <c r="I85" s="35">
        <f t="shared" si="6"/>
        <v>0</v>
      </c>
      <c r="J85" s="530"/>
      <c r="K85" s="506"/>
      <c r="M85" s="513">
        <f t="shared" si="7"/>
        <v>0</v>
      </c>
      <c r="N85" s="3"/>
      <c r="O85" s="513">
        <f t="shared" si="8"/>
        <v>0</v>
      </c>
      <c r="Q85" s="500"/>
      <c r="S85" s="513">
        <f t="shared" si="9"/>
        <v>0</v>
      </c>
    </row>
    <row r="86" spans="2:19" s="453" customFormat="1" ht="12">
      <c r="B86" s="517">
        <v>74</v>
      </c>
      <c r="C86" s="528"/>
      <c r="D86" s="498"/>
      <c r="E86" s="498"/>
      <c r="F86" s="500"/>
      <c r="G86" s="35">
        <f t="shared" si="5"/>
        <v>0</v>
      </c>
      <c r="H86" s="511">
        <f>IF(Consolidado_A!$G$133=7.6%,-(0.0165+0.076)*F86,0)</f>
        <v>0</v>
      </c>
      <c r="I86" s="35">
        <f t="shared" si="6"/>
        <v>0</v>
      </c>
      <c r="J86" s="530"/>
      <c r="K86" s="506"/>
      <c r="M86" s="513">
        <f t="shared" si="7"/>
        <v>0</v>
      </c>
      <c r="N86" s="3"/>
      <c r="O86" s="513">
        <f t="shared" si="8"/>
        <v>0</v>
      </c>
      <c r="Q86" s="500"/>
      <c r="S86" s="513">
        <f t="shared" si="9"/>
        <v>0</v>
      </c>
    </row>
    <row r="87" spans="2:19" s="453" customFormat="1" ht="12">
      <c r="B87" s="517">
        <v>75</v>
      </c>
      <c r="C87" s="528"/>
      <c r="D87" s="498"/>
      <c r="E87" s="498"/>
      <c r="F87" s="500"/>
      <c r="G87" s="35">
        <f t="shared" si="5"/>
        <v>0</v>
      </c>
      <c r="H87" s="511">
        <f>IF(Consolidado_A!$G$133=7.6%,-(0.0165+0.076)*F87,0)</f>
        <v>0</v>
      </c>
      <c r="I87" s="35">
        <f t="shared" si="6"/>
        <v>0</v>
      </c>
      <c r="J87" s="530"/>
      <c r="K87" s="506"/>
      <c r="M87" s="513">
        <f t="shared" si="7"/>
        <v>0</v>
      </c>
      <c r="N87" s="3"/>
      <c r="O87" s="513">
        <f t="shared" si="8"/>
        <v>0</v>
      </c>
      <c r="Q87" s="500"/>
      <c r="S87" s="513">
        <f t="shared" si="9"/>
        <v>0</v>
      </c>
    </row>
    <row r="88" spans="2:19" s="453" customFormat="1" ht="12">
      <c r="B88" s="517">
        <v>76</v>
      </c>
      <c r="C88" s="528"/>
      <c r="D88" s="498"/>
      <c r="E88" s="498"/>
      <c r="F88" s="500"/>
      <c r="G88" s="35">
        <f t="shared" si="5"/>
        <v>0</v>
      </c>
      <c r="H88" s="511">
        <f>IF(Consolidado_A!$G$133=7.6%,-(0.0165+0.076)*F88,0)</f>
        <v>0</v>
      </c>
      <c r="I88" s="35">
        <f t="shared" si="6"/>
        <v>0</v>
      </c>
      <c r="J88" s="530"/>
      <c r="K88" s="506"/>
      <c r="M88" s="513">
        <f t="shared" si="7"/>
        <v>0</v>
      </c>
      <c r="N88" s="3"/>
      <c r="O88" s="513">
        <f t="shared" si="8"/>
        <v>0</v>
      </c>
      <c r="Q88" s="500"/>
      <c r="S88" s="513">
        <f t="shared" si="9"/>
        <v>0</v>
      </c>
    </row>
    <row r="89" spans="2:19" s="453" customFormat="1" ht="12">
      <c r="B89" s="517">
        <v>77</v>
      </c>
      <c r="C89" s="528"/>
      <c r="D89" s="498"/>
      <c r="E89" s="498"/>
      <c r="F89" s="500"/>
      <c r="G89" s="35">
        <f t="shared" si="5"/>
        <v>0</v>
      </c>
      <c r="H89" s="511">
        <f>IF(Consolidado_A!$G$133=7.6%,-(0.0165+0.076)*F89,0)</f>
        <v>0</v>
      </c>
      <c r="I89" s="35">
        <f t="shared" si="6"/>
        <v>0</v>
      </c>
      <c r="J89" s="530"/>
      <c r="K89" s="506"/>
      <c r="M89" s="513">
        <f t="shared" si="7"/>
        <v>0</v>
      </c>
      <c r="N89" s="3"/>
      <c r="O89" s="513">
        <f t="shared" si="8"/>
        <v>0</v>
      </c>
      <c r="Q89" s="500"/>
      <c r="S89" s="513">
        <f t="shared" si="9"/>
        <v>0</v>
      </c>
    </row>
    <row r="90" spans="2:19" s="453" customFormat="1" ht="12">
      <c r="B90" s="517">
        <v>78</v>
      </c>
      <c r="C90" s="528"/>
      <c r="D90" s="498"/>
      <c r="E90" s="498"/>
      <c r="F90" s="500"/>
      <c r="G90" s="35">
        <f t="shared" si="5"/>
        <v>0</v>
      </c>
      <c r="H90" s="511">
        <f>IF(Consolidado_A!$G$133=7.6%,-(0.0165+0.076)*F90,0)</f>
        <v>0</v>
      </c>
      <c r="I90" s="35">
        <f t="shared" si="6"/>
        <v>0</v>
      </c>
      <c r="J90" s="530"/>
      <c r="K90" s="506"/>
      <c r="M90" s="513">
        <f t="shared" si="7"/>
        <v>0</v>
      </c>
      <c r="N90" s="3"/>
      <c r="O90" s="513">
        <f t="shared" si="8"/>
        <v>0</v>
      </c>
      <c r="Q90" s="500"/>
      <c r="S90" s="513">
        <f t="shared" si="9"/>
        <v>0</v>
      </c>
    </row>
    <row r="91" spans="2:19" s="453" customFormat="1" ht="12">
      <c r="B91" s="517">
        <v>79</v>
      </c>
      <c r="C91" s="528"/>
      <c r="D91" s="498"/>
      <c r="E91" s="498"/>
      <c r="F91" s="500"/>
      <c r="G91" s="35">
        <f t="shared" si="5"/>
        <v>0</v>
      </c>
      <c r="H91" s="511">
        <f>IF(Consolidado_A!$G$133=7.6%,-(0.0165+0.076)*F91,0)</f>
        <v>0</v>
      </c>
      <c r="I91" s="35">
        <f t="shared" si="6"/>
        <v>0</v>
      </c>
      <c r="J91" s="530"/>
      <c r="K91" s="506"/>
      <c r="M91" s="513">
        <f t="shared" si="7"/>
        <v>0</v>
      </c>
      <c r="N91" s="3"/>
      <c r="O91" s="513">
        <f t="shared" si="8"/>
        <v>0</v>
      </c>
      <c r="Q91" s="500"/>
      <c r="S91" s="513">
        <f t="shared" si="9"/>
        <v>0</v>
      </c>
    </row>
    <row r="92" spans="2:19" s="453" customFormat="1" ht="12">
      <c r="B92" s="517">
        <v>80</v>
      </c>
      <c r="C92" s="528"/>
      <c r="D92" s="498"/>
      <c r="E92" s="498"/>
      <c r="F92" s="500"/>
      <c r="G92" s="35">
        <f t="shared" si="5"/>
        <v>0</v>
      </c>
      <c r="H92" s="511">
        <f>IF(Consolidado_A!$G$133=7.6%,-(0.0165+0.076)*F92,0)</f>
        <v>0</v>
      </c>
      <c r="I92" s="35">
        <f t="shared" si="6"/>
        <v>0</v>
      </c>
      <c r="J92" s="530"/>
      <c r="K92" s="506"/>
      <c r="M92" s="513">
        <f t="shared" si="7"/>
        <v>0</v>
      </c>
      <c r="N92" s="3"/>
      <c r="O92" s="513">
        <f t="shared" si="8"/>
        <v>0</v>
      </c>
      <c r="Q92" s="500"/>
      <c r="S92" s="513">
        <f t="shared" si="9"/>
        <v>0</v>
      </c>
    </row>
    <row r="93" spans="2:19" s="453" customFormat="1" ht="12">
      <c r="B93" s="517">
        <v>81</v>
      </c>
      <c r="C93" s="528"/>
      <c r="D93" s="498"/>
      <c r="E93" s="498"/>
      <c r="F93" s="500"/>
      <c r="G93" s="35">
        <f t="shared" si="5"/>
        <v>0</v>
      </c>
      <c r="H93" s="511">
        <f>IF(Consolidado_A!$G$133=7.6%,-(0.0165+0.076)*F93,0)</f>
        <v>0</v>
      </c>
      <c r="I93" s="35">
        <f t="shared" si="6"/>
        <v>0</v>
      </c>
      <c r="J93" s="530"/>
      <c r="K93" s="506"/>
      <c r="M93" s="513">
        <f t="shared" si="7"/>
        <v>0</v>
      </c>
      <c r="N93" s="3"/>
      <c r="O93" s="513">
        <f t="shared" si="8"/>
        <v>0</v>
      </c>
      <c r="Q93" s="500"/>
      <c r="S93" s="513">
        <f t="shared" si="9"/>
        <v>0</v>
      </c>
    </row>
    <row r="94" spans="2:19" s="453" customFormat="1" ht="12">
      <c r="B94" s="517">
        <v>82</v>
      </c>
      <c r="C94" s="528"/>
      <c r="D94" s="498"/>
      <c r="E94" s="498"/>
      <c r="F94" s="500"/>
      <c r="G94" s="35">
        <f t="shared" si="5"/>
        <v>0</v>
      </c>
      <c r="H94" s="511">
        <f>IF(Consolidado_A!$G$133=7.6%,-(0.0165+0.076)*F94,0)</f>
        <v>0</v>
      </c>
      <c r="I94" s="35">
        <f t="shared" si="6"/>
        <v>0</v>
      </c>
      <c r="J94" s="530"/>
      <c r="K94" s="506"/>
      <c r="M94" s="513">
        <f t="shared" si="7"/>
        <v>0</v>
      </c>
      <c r="N94" s="3"/>
      <c r="O94" s="513">
        <f t="shared" si="8"/>
        <v>0</v>
      </c>
      <c r="Q94" s="500"/>
      <c r="S94" s="513">
        <f t="shared" si="9"/>
        <v>0</v>
      </c>
    </row>
    <row r="95" spans="2:19" s="453" customFormat="1" ht="12">
      <c r="B95" s="517">
        <v>83</v>
      </c>
      <c r="C95" s="528"/>
      <c r="D95" s="498"/>
      <c r="E95" s="498"/>
      <c r="F95" s="500"/>
      <c r="G95" s="35">
        <f t="shared" si="5"/>
        <v>0</v>
      </c>
      <c r="H95" s="511">
        <f>IF(Consolidado_A!$G$133=7.6%,-(0.0165+0.076)*F95,0)</f>
        <v>0</v>
      </c>
      <c r="I95" s="35">
        <f t="shared" si="6"/>
        <v>0</v>
      </c>
      <c r="J95" s="530"/>
      <c r="K95" s="506"/>
      <c r="M95" s="513">
        <f t="shared" si="7"/>
        <v>0</v>
      </c>
      <c r="N95" s="3"/>
      <c r="O95" s="513">
        <f t="shared" si="8"/>
        <v>0</v>
      </c>
      <c r="Q95" s="500"/>
      <c r="S95" s="513">
        <f t="shared" si="9"/>
        <v>0</v>
      </c>
    </row>
    <row r="96" spans="2:19" s="453" customFormat="1" ht="12">
      <c r="B96" s="517">
        <v>84</v>
      </c>
      <c r="C96" s="528"/>
      <c r="D96" s="498"/>
      <c r="E96" s="498"/>
      <c r="F96" s="500"/>
      <c r="G96" s="35">
        <f t="shared" si="5"/>
        <v>0</v>
      </c>
      <c r="H96" s="511">
        <f>IF(Consolidado_A!$G$133=7.6%,-(0.0165+0.076)*F96,0)</f>
        <v>0</v>
      </c>
      <c r="I96" s="35">
        <f t="shared" si="6"/>
        <v>0</v>
      </c>
      <c r="J96" s="530"/>
      <c r="K96" s="506"/>
      <c r="M96" s="513">
        <f t="shared" si="7"/>
        <v>0</v>
      </c>
      <c r="N96" s="3"/>
      <c r="O96" s="513">
        <f t="shared" si="8"/>
        <v>0</v>
      </c>
      <c r="Q96" s="500"/>
      <c r="S96" s="513">
        <f t="shared" si="9"/>
        <v>0</v>
      </c>
    </row>
    <row r="97" spans="2:19" s="453" customFormat="1" ht="12">
      <c r="B97" s="517">
        <v>85</v>
      </c>
      <c r="C97" s="528"/>
      <c r="D97" s="498"/>
      <c r="E97" s="498"/>
      <c r="F97" s="500"/>
      <c r="G97" s="35">
        <f t="shared" si="5"/>
        <v>0</v>
      </c>
      <c r="H97" s="511">
        <f>IF(Consolidado_A!$G$133=7.6%,-(0.0165+0.076)*F97,0)</f>
        <v>0</v>
      </c>
      <c r="I97" s="35">
        <f t="shared" si="6"/>
        <v>0</v>
      </c>
      <c r="J97" s="530"/>
      <c r="K97" s="506"/>
      <c r="M97" s="513">
        <f t="shared" si="7"/>
        <v>0</v>
      </c>
      <c r="N97" s="3"/>
      <c r="O97" s="513">
        <f t="shared" si="8"/>
        <v>0</v>
      </c>
      <c r="Q97" s="500"/>
      <c r="S97" s="513">
        <f t="shared" si="9"/>
        <v>0</v>
      </c>
    </row>
    <row r="98" spans="2:19" s="453" customFormat="1" ht="12">
      <c r="B98" s="517">
        <v>86</v>
      </c>
      <c r="C98" s="528"/>
      <c r="D98" s="498"/>
      <c r="E98" s="498"/>
      <c r="F98" s="500"/>
      <c r="G98" s="35">
        <f t="shared" si="5"/>
        <v>0</v>
      </c>
      <c r="H98" s="511">
        <f>IF(Consolidado_A!$G$133=7.6%,-(0.0165+0.076)*F98,0)</f>
        <v>0</v>
      </c>
      <c r="I98" s="35">
        <f t="shared" si="6"/>
        <v>0</v>
      </c>
      <c r="J98" s="530"/>
      <c r="K98" s="506"/>
      <c r="M98" s="513">
        <f t="shared" si="7"/>
        <v>0</v>
      </c>
      <c r="N98" s="3"/>
      <c r="O98" s="513">
        <f t="shared" si="8"/>
        <v>0</v>
      </c>
      <c r="Q98" s="500"/>
      <c r="S98" s="513">
        <f t="shared" si="9"/>
        <v>0</v>
      </c>
    </row>
    <row r="99" spans="2:19" s="453" customFormat="1" ht="12">
      <c r="B99" s="517">
        <v>87</v>
      </c>
      <c r="C99" s="528"/>
      <c r="D99" s="498"/>
      <c r="E99" s="498"/>
      <c r="F99" s="500"/>
      <c r="G99" s="35">
        <f t="shared" si="5"/>
        <v>0</v>
      </c>
      <c r="H99" s="511">
        <f>IF(Consolidado_A!$G$133=7.6%,-(0.0165+0.076)*F99,0)</f>
        <v>0</v>
      </c>
      <c r="I99" s="35">
        <f t="shared" si="6"/>
        <v>0</v>
      </c>
      <c r="J99" s="530"/>
      <c r="K99" s="506"/>
      <c r="M99" s="513">
        <f t="shared" si="7"/>
        <v>0</v>
      </c>
      <c r="N99" s="3"/>
      <c r="O99" s="513">
        <f t="shared" si="8"/>
        <v>0</v>
      </c>
      <c r="Q99" s="500"/>
      <c r="S99" s="513">
        <f t="shared" si="9"/>
        <v>0</v>
      </c>
    </row>
    <row r="100" spans="2:19" s="453" customFormat="1" ht="12">
      <c r="B100" s="517">
        <v>88</v>
      </c>
      <c r="C100" s="528"/>
      <c r="D100" s="498"/>
      <c r="E100" s="498"/>
      <c r="F100" s="500"/>
      <c r="G100" s="35">
        <f t="shared" si="5"/>
        <v>0</v>
      </c>
      <c r="H100" s="511">
        <f>IF(Consolidado_A!$G$133=7.6%,-(0.0165+0.076)*F100,0)</f>
        <v>0</v>
      </c>
      <c r="I100" s="35">
        <f t="shared" si="6"/>
        <v>0</v>
      </c>
      <c r="J100" s="530"/>
      <c r="K100" s="506"/>
      <c r="M100" s="513">
        <f t="shared" si="7"/>
        <v>0</v>
      </c>
      <c r="N100" s="3"/>
      <c r="O100" s="513">
        <f t="shared" si="8"/>
        <v>0</v>
      </c>
      <c r="Q100" s="500"/>
      <c r="S100" s="513">
        <f t="shared" si="9"/>
        <v>0</v>
      </c>
    </row>
    <row r="101" spans="2:19" s="453" customFormat="1" ht="12">
      <c r="B101" s="517">
        <v>89</v>
      </c>
      <c r="C101" s="528"/>
      <c r="D101" s="498"/>
      <c r="E101" s="498"/>
      <c r="F101" s="500"/>
      <c r="G101" s="35">
        <f t="shared" si="5"/>
        <v>0</v>
      </c>
      <c r="H101" s="511">
        <f>IF(Consolidado_A!$G$133=7.6%,-(0.0165+0.076)*F101,0)</f>
        <v>0</v>
      </c>
      <c r="I101" s="35">
        <f t="shared" si="6"/>
        <v>0</v>
      </c>
      <c r="J101" s="530"/>
      <c r="K101" s="506"/>
      <c r="M101" s="513">
        <f t="shared" si="7"/>
        <v>0</v>
      </c>
      <c r="N101" s="3"/>
      <c r="O101" s="513">
        <f t="shared" si="8"/>
        <v>0</v>
      </c>
      <c r="Q101" s="500"/>
      <c r="S101" s="513">
        <f t="shared" si="9"/>
        <v>0</v>
      </c>
    </row>
    <row r="102" spans="2:19" s="453" customFormat="1" ht="12">
      <c r="B102" s="517">
        <v>90</v>
      </c>
      <c r="C102" s="528"/>
      <c r="D102" s="498"/>
      <c r="E102" s="498"/>
      <c r="F102" s="500"/>
      <c r="G102" s="35">
        <f t="shared" si="5"/>
        <v>0</v>
      </c>
      <c r="H102" s="511">
        <f>IF(Consolidado_A!$G$133=7.6%,-(0.0165+0.076)*F102,0)</f>
        <v>0</v>
      </c>
      <c r="I102" s="35">
        <f t="shared" si="6"/>
        <v>0</v>
      </c>
      <c r="J102" s="530"/>
      <c r="K102" s="506"/>
      <c r="M102" s="513">
        <f t="shared" si="7"/>
        <v>0</v>
      </c>
      <c r="N102" s="3"/>
      <c r="O102" s="513">
        <f t="shared" si="8"/>
        <v>0</v>
      </c>
      <c r="Q102" s="500"/>
      <c r="S102" s="513">
        <f t="shared" si="9"/>
        <v>0</v>
      </c>
    </row>
    <row r="103" spans="2:19" s="453" customFormat="1" ht="12">
      <c r="B103" s="517">
        <v>91</v>
      </c>
      <c r="C103" s="528"/>
      <c r="D103" s="498"/>
      <c r="E103" s="498"/>
      <c r="F103" s="500"/>
      <c r="G103" s="35">
        <f t="shared" si="5"/>
        <v>0</v>
      </c>
      <c r="H103" s="511">
        <f>IF(Consolidado_A!$G$133=7.6%,-(0.0165+0.076)*F103,0)</f>
        <v>0</v>
      </c>
      <c r="I103" s="35">
        <f t="shared" si="6"/>
        <v>0</v>
      </c>
      <c r="J103" s="530"/>
      <c r="K103" s="506"/>
      <c r="M103" s="513">
        <f t="shared" si="7"/>
        <v>0</v>
      </c>
      <c r="N103" s="3"/>
      <c r="O103" s="513">
        <f t="shared" si="8"/>
        <v>0</v>
      </c>
      <c r="Q103" s="500"/>
      <c r="S103" s="513">
        <f t="shared" si="9"/>
        <v>0</v>
      </c>
    </row>
    <row r="104" spans="2:19" s="453" customFormat="1" ht="12">
      <c r="B104" s="517">
        <v>92</v>
      </c>
      <c r="C104" s="528"/>
      <c r="D104" s="498"/>
      <c r="E104" s="498"/>
      <c r="F104" s="500"/>
      <c r="G104" s="35">
        <f t="shared" si="5"/>
        <v>0</v>
      </c>
      <c r="H104" s="511">
        <f>IF(Consolidado_A!$G$133=7.6%,-(0.0165+0.076)*F104,0)</f>
        <v>0</v>
      </c>
      <c r="I104" s="35">
        <f t="shared" si="6"/>
        <v>0</v>
      </c>
      <c r="J104" s="530"/>
      <c r="K104" s="506"/>
      <c r="M104" s="513">
        <f t="shared" si="7"/>
        <v>0</v>
      </c>
      <c r="N104" s="3"/>
      <c r="O104" s="513">
        <f t="shared" si="8"/>
        <v>0</v>
      </c>
      <c r="Q104" s="500"/>
      <c r="S104" s="513">
        <f t="shared" si="9"/>
        <v>0</v>
      </c>
    </row>
    <row r="105" spans="2:19" s="453" customFormat="1" ht="12">
      <c r="B105" s="517">
        <v>93</v>
      </c>
      <c r="C105" s="528"/>
      <c r="D105" s="498"/>
      <c r="E105" s="498"/>
      <c r="F105" s="500"/>
      <c r="G105" s="35">
        <f t="shared" si="5"/>
        <v>0</v>
      </c>
      <c r="H105" s="511">
        <f>IF(Consolidado_A!$G$133=7.6%,-(0.0165+0.076)*F105,0)</f>
        <v>0</v>
      </c>
      <c r="I105" s="35">
        <f t="shared" si="6"/>
        <v>0</v>
      </c>
      <c r="J105" s="530"/>
      <c r="K105" s="506"/>
      <c r="M105" s="513">
        <f t="shared" si="7"/>
        <v>0</v>
      </c>
      <c r="N105" s="3"/>
      <c r="O105" s="513">
        <f t="shared" si="8"/>
        <v>0</v>
      </c>
      <c r="Q105" s="500"/>
      <c r="S105" s="513">
        <f t="shared" si="9"/>
        <v>0</v>
      </c>
    </row>
    <row r="106" spans="2:19" s="453" customFormat="1" ht="12">
      <c r="B106" s="517">
        <v>94</v>
      </c>
      <c r="C106" s="528"/>
      <c r="D106" s="498"/>
      <c r="E106" s="498"/>
      <c r="F106" s="500"/>
      <c r="G106" s="35">
        <f t="shared" si="5"/>
        <v>0</v>
      </c>
      <c r="H106" s="511">
        <f>IF(Consolidado_A!$G$133=7.6%,-(0.0165+0.076)*F106,0)</f>
        <v>0</v>
      </c>
      <c r="I106" s="35">
        <f t="shared" si="6"/>
        <v>0</v>
      </c>
      <c r="J106" s="530"/>
      <c r="K106" s="506"/>
      <c r="M106" s="513">
        <f t="shared" si="7"/>
        <v>0</v>
      </c>
      <c r="N106" s="3"/>
      <c r="O106" s="513">
        <f t="shared" si="8"/>
        <v>0</v>
      </c>
      <c r="Q106" s="500"/>
      <c r="S106" s="513">
        <f t="shared" si="9"/>
        <v>0</v>
      </c>
    </row>
    <row r="107" spans="2:19" s="453" customFormat="1" ht="12">
      <c r="B107" s="517">
        <v>95</v>
      </c>
      <c r="C107" s="528"/>
      <c r="D107" s="498"/>
      <c r="E107" s="498"/>
      <c r="F107" s="500"/>
      <c r="G107" s="35">
        <f t="shared" si="5"/>
        <v>0</v>
      </c>
      <c r="H107" s="511">
        <f>IF(Consolidado_A!$G$133=7.6%,-(0.0165+0.076)*F107,0)</f>
        <v>0</v>
      </c>
      <c r="I107" s="35">
        <f t="shared" si="6"/>
        <v>0</v>
      </c>
      <c r="J107" s="530"/>
      <c r="K107" s="506"/>
      <c r="M107" s="513">
        <f t="shared" si="7"/>
        <v>0</v>
      </c>
      <c r="N107" s="3"/>
      <c r="O107" s="513">
        <f t="shared" si="8"/>
        <v>0</v>
      </c>
      <c r="Q107" s="500"/>
      <c r="S107" s="513">
        <f t="shared" si="9"/>
        <v>0</v>
      </c>
    </row>
    <row r="108" spans="2:19" s="453" customFormat="1" ht="12">
      <c r="B108" s="517">
        <v>96</v>
      </c>
      <c r="C108" s="528"/>
      <c r="D108" s="498"/>
      <c r="E108" s="498"/>
      <c r="F108" s="500"/>
      <c r="G108" s="35">
        <f t="shared" si="5"/>
        <v>0</v>
      </c>
      <c r="H108" s="511">
        <f>IF(Consolidado_A!$G$133=7.6%,-(0.0165+0.076)*F108,0)</f>
        <v>0</v>
      </c>
      <c r="I108" s="35">
        <f t="shared" si="6"/>
        <v>0</v>
      </c>
      <c r="J108" s="530"/>
      <c r="K108" s="506"/>
      <c r="M108" s="513">
        <f t="shared" si="7"/>
        <v>0</v>
      </c>
      <c r="N108" s="3"/>
      <c r="O108" s="513">
        <f t="shared" si="8"/>
        <v>0</v>
      </c>
      <c r="Q108" s="500"/>
      <c r="S108" s="513">
        <f t="shared" si="9"/>
        <v>0</v>
      </c>
    </row>
    <row r="109" spans="2:19" s="453" customFormat="1" ht="12">
      <c r="B109" s="517">
        <v>97</v>
      </c>
      <c r="C109" s="528"/>
      <c r="D109" s="498"/>
      <c r="E109" s="498"/>
      <c r="F109" s="500"/>
      <c r="G109" s="35">
        <f t="shared" si="5"/>
        <v>0</v>
      </c>
      <c r="H109" s="511">
        <f>IF(Consolidado_A!$G$133=7.6%,-(0.0165+0.076)*F109,0)</f>
        <v>0</v>
      </c>
      <c r="I109" s="35">
        <f t="shared" si="6"/>
        <v>0</v>
      </c>
      <c r="J109" s="530"/>
      <c r="K109" s="506"/>
      <c r="M109" s="513">
        <f t="shared" si="7"/>
        <v>0</v>
      </c>
      <c r="N109" s="3"/>
      <c r="O109" s="513">
        <f t="shared" si="8"/>
        <v>0</v>
      </c>
      <c r="Q109" s="500"/>
      <c r="S109" s="513">
        <f t="shared" si="9"/>
        <v>0</v>
      </c>
    </row>
    <row r="110" spans="2:19" s="453" customFormat="1" ht="12">
      <c r="B110" s="517">
        <v>98</v>
      </c>
      <c r="C110" s="528"/>
      <c r="D110" s="498"/>
      <c r="E110" s="498"/>
      <c r="F110" s="500"/>
      <c r="G110" s="35">
        <f t="shared" si="5"/>
        <v>0</v>
      </c>
      <c r="H110" s="511">
        <f>IF(Consolidado_A!$G$133=7.6%,-(0.0165+0.076)*F110,0)</f>
        <v>0</v>
      </c>
      <c r="I110" s="35">
        <f t="shared" si="6"/>
        <v>0</v>
      </c>
      <c r="J110" s="530"/>
      <c r="K110" s="506"/>
      <c r="M110" s="513">
        <f t="shared" si="7"/>
        <v>0</v>
      </c>
      <c r="N110" s="3"/>
      <c r="O110" s="513">
        <f t="shared" si="8"/>
        <v>0</v>
      </c>
      <c r="Q110" s="500"/>
      <c r="S110" s="513">
        <f t="shared" si="9"/>
        <v>0</v>
      </c>
    </row>
    <row r="111" spans="2:19" s="453" customFormat="1" ht="12">
      <c r="B111" s="517">
        <v>99</v>
      </c>
      <c r="C111" s="528"/>
      <c r="D111" s="498"/>
      <c r="E111" s="498"/>
      <c r="F111" s="500"/>
      <c r="G111" s="35">
        <f t="shared" si="5"/>
        <v>0</v>
      </c>
      <c r="H111" s="511">
        <f>IF(Consolidado_A!$G$133=7.6%,-(0.0165+0.076)*F111,0)</f>
        <v>0</v>
      </c>
      <c r="I111" s="35">
        <f t="shared" si="6"/>
        <v>0</v>
      </c>
      <c r="J111" s="530"/>
      <c r="K111" s="506"/>
      <c r="M111" s="513">
        <f t="shared" si="7"/>
        <v>0</v>
      </c>
      <c r="N111" s="3"/>
      <c r="O111" s="513">
        <f t="shared" si="8"/>
        <v>0</v>
      </c>
      <c r="Q111" s="500"/>
      <c r="S111" s="513">
        <f t="shared" si="9"/>
        <v>0</v>
      </c>
    </row>
    <row r="112" spans="2:19" s="453" customFormat="1" ht="12">
      <c r="B112" s="517">
        <v>100</v>
      </c>
      <c r="C112" s="528"/>
      <c r="D112" s="498"/>
      <c r="E112" s="498"/>
      <c r="F112" s="500"/>
      <c r="G112" s="35">
        <f t="shared" si="5"/>
        <v>0</v>
      </c>
      <c r="H112" s="511">
        <f>IF(Consolidado_A!$G$133=7.6%,-(0.0165+0.076)*F112,0)</f>
        <v>0</v>
      </c>
      <c r="I112" s="35">
        <f t="shared" si="6"/>
        <v>0</v>
      </c>
      <c r="J112" s="530"/>
      <c r="K112" s="506"/>
      <c r="M112" s="513">
        <f t="shared" si="7"/>
        <v>0</v>
      </c>
      <c r="N112" s="3"/>
      <c r="O112" s="513">
        <f t="shared" si="8"/>
        <v>0</v>
      </c>
      <c r="Q112" s="500"/>
      <c r="S112" s="513">
        <f t="shared" si="9"/>
        <v>0</v>
      </c>
    </row>
    <row r="113" spans="2:19" s="453" customFormat="1" ht="12">
      <c r="B113" s="517">
        <v>101</v>
      </c>
      <c r="C113" s="528"/>
      <c r="D113" s="498"/>
      <c r="E113" s="498"/>
      <c r="F113" s="500"/>
      <c r="G113" s="35">
        <f t="shared" si="5"/>
        <v>0</v>
      </c>
      <c r="H113" s="511">
        <f>IF(Consolidado_A!$G$133=7.6%,-(0.0165+0.076)*F113,0)</f>
        <v>0</v>
      </c>
      <c r="I113" s="35">
        <f t="shared" si="6"/>
        <v>0</v>
      </c>
      <c r="J113" s="530"/>
      <c r="K113" s="506"/>
      <c r="M113" s="513">
        <f t="shared" si="7"/>
        <v>0</v>
      </c>
      <c r="N113" s="3"/>
      <c r="O113" s="513">
        <f t="shared" si="8"/>
        <v>0</v>
      </c>
      <c r="Q113" s="500"/>
      <c r="S113" s="513">
        <f t="shared" si="9"/>
        <v>0</v>
      </c>
    </row>
    <row r="114" spans="2:19" s="453" customFormat="1" ht="12">
      <c r="B114" s="517">
        <v>102</v>
      </c>
      <c r="C114" s="528"/>
      <c r="D114" s="498"/>
      <c r="E114" s="498"/>
      <c r="F114" s="500"/>
      <c r="G114" s="35">
        <f t="shared" si="5"/>
        <v>0</v>
      </c>
      <c r="H114" s="511">
        <f>IF(Consolidado_A!$G$133=7.6%,-(0.0165+0.076)*F114,0)</f>
        <v>0</v>
      </c>
      <c r="I114" s="35">
        <f t="shared" si="6"/>
        <v>0</v>
      </c>
      <c r="J114" s="530"/>
      <c r="K114" s="506"/>
      <c r="M114" s="513">
        <f t="shared" si="7"/>
        <v>0</v>
      </c>
      <c r="N114" s="3"/>
      <c r="O114" s="513">
        <f t="shared" si="8"/>
        <v>0</v>
      </c>
      <c r="Q114" s="500"/>
      <c r="S114" s="513">
        <f t="shared" si="9"/>
        <v>0</v>
      </c>
    </row>
    <row r="115" spans="2:19" s="453" customFormat="1" ht="12">
      <c r="B115" s="517">
        <v>103</v>
      </c>
      <c r="C115" s="528"/>
      <c r="D115" s="498"/>
      <c r="E115" s="498"/>
      <c r="F115" s="500"/>
      <c r="G115" s="35">
        <f t="shared" si="5"/>
        <v>0</v>
      </c>
      <c r="H115" s="511">
        <f>IF(Consolidado_A!$G$133=7.6%,-(0.0165+0.076)*F115,0)</f>
        <v>0</v>
      </c>
      <c r="I115" s="35">
        <f t="shared" si="6"/>
        <v>0</v>
      </c>
      <c r="J115" s="530"/>
      <c r="K115" s="506"/>
      <c r="M115" s="513">
        <f t="shared" si="7"/>
        <v>0</v>
      </c>
      <c r="N115" s="3"/>
      <c r="O115" s="513">
        <f t="shared" si="8"/>
        <v>0</v>
      </c>
      <c r="Q115" s="500"/>
      <c r="S115" s="513">
        <f t="shared" si="9"/>
        <v>0</v>
      </c>
    </row>
    <row r="116" spans="2:19" s="453" customFormat="1" ht="12">
      <c r="B116" s="517">
        <v>104</v>
      </c>
      <c r="C116" s="528"/>
      <c r="D116" s="498"/>
      <c r="E116" s="498"/>
      <c r="F116" s="500"/>
      <c r="G116" s="35">
        <f t="shared" si="5"/>
        <v>0</v>
      </c>
      <c r="H116" s="511">
        <f>IF(Consolidado_A!$G$133=7.6%,-(0.0165+0.076)*F116,0)</f>
        <v>0</v>
      </c>
      <c r="I116" s="35">
        <f t="shared" si="6"/>
        <v>0</v>
      </c>
      <c r="J116" s="530"/>
      <c r="K116" s="506"/>
      <c r="M116" s="513">
        <f t="shared" si="7"/>
        <v>0</v>
      </c>
      <c r="N116" s="3"/>
      <c r="O116" s="513">
        <f t="shared" si="8"/>
        <v>0</v>
      </c>
      <c r="Q116" s="500"/>
      <c r="S116" s="513">
        <f t="shared" si="9"/>
        <v>0</v>
      </c>
    </row>
    <row r="117" spans="2:19" s="453" customFormat="1" ht="12">
      <c r="B117" s="517">
        <v>105</v>
      </c>
      <c r="C117" s="528"/>
      <c r="D117" s="498"/>
      <c r="E117" s="498"/>
      <c r="F117" s="500"/>
      <c r="G117" s="35">
        <f t="shared" si="5"/>
        <v>0</v>
      </c>
      <c r="H117" s="511">
        <f>IF(Consolidado_A!$G$133=7.6%,-(0.0165+0.076)*F117,0)</f>
        <v>0</v>
      </c>
      <c r="I117" s="35">
        <f t="shared" si="6"/>
        <v>0</v>
      </c>
      <c r="J117" s="530"/>
      <c r="K117" s="506"/>
      <c r="M117" s="513">
        <f t="shared" si="7"/>
        <v>0</v>
      </c>
      <c r="N117" s="3"/>
      <c r="O117" s="513">
        <f t="shared" si="8"/>
        <v>0</v>
      </c>
      <c r="Q117" s="500"/>
      <c r="S117" s="513">
        <f t="shared" si="9"/>
        <v>0</v>
      </c>
    </row>
    <row r="118" spans="2:19" s="453" customFormat="1" ht="12">
      <c r="B118" s="517">
        <v>106</v>
      </c>
      <c r="C118" s="528"/>
      <c r="D118" s="498"/>
      <c r="E118" s="498"/>
      <c r="F118" s="500"/>
      <c r="G118" s="35">
        <f t="shared" si="5"/>
        <v>0</v>
      </c>
      <c r="H118" s="511">
        <f>IF(Consolidado_A!$G$133=7.6%,-(0.0165+0.076)*F118,0)</f>
        <v>0</v>
      </c>
      <c r="I118" s="35">
        <f t="shared" si="6"/>
        <v>0</v>
      </c>
      <c r="J118" s="530"/>
      <c r="K118" s="506"/>
      <c r="M118" s="513">
        <f t="shared" si="7"/>
        <v>0</v>
      </c>
      <c r="N118" s="3"/>
      <c r="O118" s="513">
        <f t="shared" si="8"/>
        <v>0</v>
      </c>
      <c r="Q118" s="500"/>
      <c r="S118" s="513">
        <f t="shared" si="9"/>
        <v>0</v>
      </c>
    </row>
    <row r="119" spans="2:19" s="453" customFormat="1" ht="12">
      <c r="B119" s="517">
        <v>107</v>
      </c>
      <c r="C119" s="528"/>
      <c r="D119" s="498"/>
      <c r="E119" s="498"/>
      <c r="F119" s="500"/>
      <c r="G119" s="35">
        <f t="shared" si="5"/>
        <v>0</v>
      </c>
      <c r="H119" s="511">
        <f>IF(Consolidado_A!$G$133=7.6%,-(0.0165+0.076)*F119,0)</f>
        <v>0</v>
      </c>
      <c r="I119" s="35">
        <f t="shared" si="6"/>
        <v>0</v>
      </c>
      <c r="J119" s="530"/>
      <c r="K119" s="506"/>
      <c r="M119" s="513">
        <f t="shared" si="7"/>
        <v>0</v>
      </c>
      <c r="N119" s="3"/>
      <c r="O119" s="513">
        <f t="shared" si="8"/>
        <v>0</v>
      </c>
      <c r="Q119" s="500"/>
      <c r="S119" s="513">
        <f t="shared" si="9"/>
        <v>0</v>
      </c>
    </row>
    <row r="120" spans="2:19" s="453" customFormat="1" ht="12">
      <c r="B120" s="517">
        <v>108</v>
      </c>
      <c r="C120" s="528"/>
      <c r="D120" s="498"/>
      <c r="E120" s="498"/>
      <c r="F120" s="500"/>
      <c r="G120" s="35">
        <f t="shared" si="5"/>
        <v>0</v>
      </c>
      <c r="H120" s="511">
        <f>IF(Consolidado_A!$G$133=7.6%,-(0.0165+0.076)*F120,0)</f>
        <v>0</v>
      </c>
      <c r="I120" s="35">
        <f t="shared" si="6"/>
        <v>0</v>
      </c>
      <c r="J120" s="530"/>
      <c r="K120" s="506"/>
      <c r="M120" s="513">
        <f t="shared" si="7"/>
        <v>0</v>
      </c>
      <c r="N120" s="3"/>
      <c r="O120" s="513">
        <f t="shared" si="8"/>
        <v>0</v>
      </c>
      <c r="Q120" s="500"/>
      <c r="S120" s="513">
        <f t="shared" si="9"/>
        <v>0</v>
      </c>
    </row>
    <row r="121" spans="2:19" s="453" customFormat="1" ht="12">
      <c r="B121" s="517">
        <v>109</v>
      </c>
      <c r="C121" s="528"/>
      <c r="D121" s="498"/>
      <c r="E121" s="498"/>
      <c r="F121" s="500"/>
      <c r="G121" s="35">
        <f t="shared" si="5"/>
        <v>0</v>
      </c>
      <c r="H121" s="511">
        <f>IF(Consolidado_A!$G$133=7.6%,-(0.0165+0.076)*F121,0)</f>
        <v>0</v>
      </c>
      <c r="I121" s="35">
        <f t="shared" si="6"/>
        <v>0</v>
      </c>
      <c r="J121" s="530"/>
      <c r="K121" s="506"/>
      <c r="M121" s="513">
        <f t="shared" si="7"/>
        <v>0</v>
      </c>
      <c r="N121" s="3"/>
      <c r="O121" s="513">
        <f t="shared" si="8"/>
        <v>0</v>
      </c>
      <c r="Q121" s="500"/>
      <c r="S121" s="513">
        <f t="shared" si="9"/>
        <v>0</v>
      </c>
    </row>
    <row r="122" spans="2:19" s="453" customFormat="1" ht="12">
      <c r="B122" s="517">
        <v>110</v>
      </c>
      <c r="C122" s="528"/>
      <c r="D122" s="498"/>
      <c r="E122" s="498"/>
      <c r="F122" s="500"/>
      <c r="G122" s="35">
        <f t="shared" si="5"/>
        <v>0</v>
      </c>
      <c r="H122" s="511">
        <f>IF(Consolidado_A!$G$133=7.6%,-(0.0165+0.076)*F122,0)</f>
        <v>0</v>
      </c>
      <c r="I122" s="35">
        <f t="shared" si="6"/>
        <v>0</v>
      </c>
      <c r="J122" s="530"/>
      <c r="K122" s="506"/>
      <c r="M122" s="513">
        <f t="shared" si="7"/>
        <v>0</v>
      </c>
      <c r="N122" s="3"/>
      <c r="O122" s="513">
        <f t="shared" si="8"/>
        <v>0</v>
      </c>
      <c r="Q122" s="500"/>
      <c r="S122" s="513">
        <f t="shared" si="9"/>
        <v>0</v>
      </c>
    </row>
    <row r="123" spans="2:19" s="453" customFormat="1" ht="12">
      <c r="B123" s="517">
        <v>111</v>
      </c>
      <c r="C123" s="528"/>
      <c r="D123" s="498"/>
      <c r="E123" s="498"/>
      <c r="F123" s="500"/>
      <c r="G123" s="35">
        <f t="shared" si="5"/>
        <v>0</v>
      </c>
      <c r="H123" s="511">
        <f>IF(Consolidado_A!$G$133=7.6%,-(0.0165+0.076)*F123,0)</f>
        <v>0</v>
      </c>
      <c r="I123" s="35">
        <f t="shared" si="6"/>
        <v>0</v>
      </c>
      <c r="J123" s="530"/>
      <c r="K123" s="506"/>
      <c r="M123" s="513">
        <f t="shared" si="7"/>
        <v>0</v>
      </c>
      <c r="N123" s="3"/>
      <c r="O123" s="513">
        <f t="shared" si="8"/>
        <v>0</v>
      </c>
      <c r="Q123" s="500"/>
      <c r="S123" s="513">
        <f t="shared" si="9"/>
        <v>0</v>
      </c>
    </row>
    <row r="124" spans="2:19" s="453" customFormat="1" ht="12">
      <c r="B124" s="517">
        <v>112</v>
      </c>
      <c r="C124" s="528"/>
      <c r="D124" s="498"/>
      <c r="E124" s="498"/>
      <c r="F124" s="500"/>
      <c r="G124" s="35">
        <f t="shared" si="5"/>
        <v>0</v>
      </c>
      <c r="H124" s="511">
        <f>IF(Consolidado_A!$G$133=7.6%,-(0.0165+0.076)*F124,0)</f>
        <v>0</v>
      </c>
      <c r="I124" s="35">
        <f t="shared" si="6"/>
        <v>0</v>
      </c>
      <c r="J124" s="530"/>
      <c r="K124" s="506"/>
      <c r="M124" s="513">
        <f t="shared" si="7"/>
        <v>0</v>
      </c>
      <c r="N124" s="3"/>
      <c r="O124" s="513">
        <f t="shared" si="8"/>
        <v>0</v>
      </c>
      <c r="Q124" s="500"/>
      <c r="S124" s="513">
        <f t="shared" si="9"/>
        <v>0</v>
      </c>
    </row>
    <row r="125" spans="2:19" s="453" customFormat="1" ht="12">
      <c r="B125" s="517">
        <v>113</v>
      </c>
      <c r="C125" s="528"/>
      <c r="D125" s="498"/>
      <c r="E125" s="498"/>
      <c r="F125" s="500"/>
      <c r="G125" s="35">
        <f t="shared" si="5"/>
        <v>0</v>
      </c>
      <c r="H125" s="511">
        <f>IF(Consolidado_A!$G$133=7.6%,-(0.0165+0.076)*F125,0)</f>
        <v>0</v>
      </c>
      <c r="I125" s="35">
        <f t="shared" si="6"/>
        <v>0</v>
      </c>
      <c r="J125" s="530"/>
      <c r="K125" s="506"/>
      <c r="M125" s="513">
        <f t="shared" si="7"/>
        <v>0</v>
      </c>
      <c r="N125" s="3"/>
      <c r="O125" s="513">
        <f t="shared" si="8"/>
        <v>0</v>
      </c>
      <c r="Q125" s="500"/>
      <c r="S125" s="513">
        <f t="shared" si="9"/>
        <v>0</v>
      </c>
    </row>
    <row r="126" spans="2:19" s="453" customFormat="1" ht="12">
      <c r="B126" s="517">
        <v>114</v>
      </c>
      <c r="C126" s="528"/>
      <c r="D126" s="498"/>
      <c r="E126" s="498"/>
      <c r="F126" s="500"/>
      <c r="G126" s="35">
        <f t="shared" si="5"/>
        <v>0</v>
      </c>
      <c r="H126" s="511">
        <f>IF(Consolidado_A!$G$133=7.6%,-(0.0165+0.076)*F126,0)</f>
        <v>0</v>
      </c>
      <c r="I126" s="35">
        <f t="shared" si="6"/>
        <v>0</v>
      </c>
      <c r="J126" s="530"/>
      <c r="K126" s="506"/>
      <c r="M126" s="513">
        <f t="shared" si="7"/>
        <v>0</v>
      </c>
      <c r="N126" s="3"/>
      <c r="O126" s="513">
        <f t="shared" si="8"/>
        <v>0</v>
      </c>
      <c r="Q126" s="500"/>
      <c r="S126" s="513">
        <f t="shared" si="9"/>
        <v>0</v>
      </c>
    </row>
    <row r="127" spans="2:19" s="453" customFormat="1" ht="12">
      <c r="B127" s="517">
        <v>115</v>
      </c>
      <c r="C127" s="528"/>
      <c r="D127" s="498"/>
      <c r="E127" s="498"/>
      <c r="F127" s="500"/>
      <c r="G127" s="35">
        <f t="shared" si="5"/>
        <v>0</v>
      </c>
      <c r="H127" s="511">
        <f>IF(Consolidado_A!$G$133=7.6%,-(0.0165+0.076)*F127,0)</f>
        <v>0</v>
      </c>
      <c r="I127" s="35">
        <f t="shared" si="6"/>
        <v>0</v>
      </c>
      <c r="J127" s="530"/>
      <c r="K127" s="506"/>
      <c r="M127" s="513">
        <f t="shared" si="7"/>
        <v>0</v>
      </c>
      <c r="N127" s="3"/>
      <c r="O127" s="513">
        <f t="shared" si="8"/>
        <v>0</v>
      </c>
      <c r="Q127" s="500"/>
      <c r="S127" s="513">
        <f t="shared" si="9"/>
        <v>0</v>
      </c>
    </row>
    <row r="128" spans="2:19" s="453" customFormat="1" ht="12">
      <c r="B128" s="517">
        <v>116</v>
      </c>
      <c r="C128" s="528"/>
      <c r="D128" s="498"/>
      <c r="E128" s="498"/>
      <c r="F128" s="500"/>
      <c r="G128" s="35">
        <f t="shared" si="5"/>
        <v>0</v>
      </c>
      <c r="H128" s="511">
        <f>IF(Consolidado_A!$G$133=7.6%,-(0.0165+0.076)*F128,0)</f>
        <v>0</v>
      </c>
      <c r="I128" s="35">
        <f t="shared" si="6"/>
        <v>0</v>
      </c>
      <c r="J128" s="530"/>
      <c r="K128" s="506"/>
      <c r="M128" s="513">
        <f t="shared" si="7"/>
        <v>0</v>
      </c>
      <c r="N128" s="3"/>
      <c r="O128" s="513">
        <f t="shared" si="8"/>
        <v>0</v>
      </c>
      <c r="Q128" s="500"/>
      <c r="S128" s="513">
        <f t="shared" si="9"/>
        <v>0</v>
      </c>
    </row>
    <row r="129" spans="2:19" s="453" customFormat="1" ht="12">
      <c r="B129" s="517">
        <v>117</v>
      </c>
      <c r="C129" s="528"/>
      <c r="D129" s="498"/>
      <c r="E129" s="498"/>
      <c r="F129" s="500"/>
      <c r="G129" s="35">
        <f t="shared" si="5"/>
        <v>0</v>
      </c>
      <c r="H129" s="511">
        <f>IF(Consolidado_A!$G$133=7.6%,-(0.0165+0.076)*F129,0)</f>
        <v>0</v>
      </c>
      <c r="I129" s="35">
        <f t="shared" si="6"/>
        <v>0</v>
      </c>
      <c r="J129" s="530"/>
      <c r="K129" s="506"/>
      <c r="M129" s="513">
        <f t="shared" si="7"/>
        <v>0</v>
      </c>
      <c r="N129" s="3"/>
      <c r="O129" s="513">
        <f t="shared" si="8"/>
        <v>0</v>
      </c>
      <c r="Q129" s="500"/>
      <c r="S129" s="513">
        <f t="shared" si="9"/>
        <v>0</v>
      </c>
    </row>
    <row r="130" spans="2:19" s="453" customFormat="1" ht="12">
      <c r="B130" s="517">
        <v>118</v>
      </c>
      <c r="C130" s="528"/>
      <c r="D130" s="498"/>
      <c r="E130" s="498"/>
      <c r="F130" s="500"/>
      <c r="G130" s="35">
        <f t="shared" si="5"/>
        <v>0</v>
      </c>
      <c r="H130" s="511">
        <f>IF(Consolidado_A!$G$133=7.6%,-(0.0165+0.076)*F130,0)</f>
        <v>0</v>
      </c>
      <c r="I130" s="35">
        <f t="shared" si="6"/>
        <v>0</v>
      </c>
      <c r="J130" s="530"/>
      <c r="K130" s="506"/>
      <c r="M130" s="513">
        <f t="shared" si="7"/>
        <v>0</v>
      </c>
      <c r="N130" s="3"/>
      <c r="O130" s="513">
        <f t="shared" si="8"/>
        <v>0</v>
      </c>
      <c r="Q130" s="500"/>
      <c r="S130" s="513">
        <f t="shared" si="9"/>
        <v>0</v>
      </c>
    </row>
    <row r="131" spans="2:19" s="453" customFormat="1" ht="12">
      <c r="B131" s="517">
        <v>119</v>
      </c>
      <c r="C131" s="528"/>
      <c r="D131" s="498"/>
      <c r="E131" s="498"/>
      <c r="F131" s="500"/>
      <c r="G131" s="35">
        <f t="shared" si="5"/>
        <v>0</v>
      </c>
      <c r="H131" s="511">
        <f>IF(Consolidado_A!$G$133=7.6%,-(0.0165+0.076)*F131,0)</f>
        <v>0</v>
      </c>
      <c r="I131" s="35">
        <f t="shared" si="6"/>
        <v>0</v>
      </c>
      <c r="J131" s="530"/>
      <c r="K131" s="506"/>
      <c r="M131" s="513">
        <f t="shared" si="7"/>
        <v>0</v>
      </c>
      <c r="N131" s="3"/>
      <c r="O131" s="513">
        <f t="shared" si="8"/>
        <v>0</v>
      </c>
      <c r="Q131" s="500"/>
      <c r="S131" s="513">
        <f t="shared" si="9"/>
        <v>0</v>
      </c>
    </row>
    <row r="132" spans="2:19" s="453" customFormat="1" ht="12">
      <c r="B132" s="517">
        <v>120</v>
      </c>
      <c r="C132" s="528"/>
      <c r="D132" s="498"/>
      <c r="E132" s="498"/>
      <c r="F132" s="500"/>
      <c r="G132" s="35">
        <f t="shared" si="5"/>
        <v>0</v>
      </c>
      <c r="H132" s="511">
        <f>IF(Consolidado_A!$G$133=7.6%,-(0.0165+0.076)*F132,0)</f>
        <v>0</v>
      </c>
      <c r="I132" s="35">
        <f t="shared" si="6"/>
        <v>0</v>
      </c>
      <c r="J132" s="530"/>
      <c r="K132" s="506"/>
      <c r="M132" s="513">
        <f t="shared" si="7"/>
        <v>0</v>
      </c>
      <c r="N132" s="3"/>
      <c r="O132" s="513">
        <f t="shared" si="8"/>
        <v>0</v>
      </c>
      <c r="Q132" s="500"/>
      <c r="S132" s="513">
        <f t="shared" si="9"/>
        <v>0</v>
      </c>
    </row>
    <row r="133" spans="2:19" s="453" customFormat="1" ht="12">
      <c r="B133" s="517">
        <v>121</v>
      </c>
      <c r="C133" s="528"/>
      <c r="D133" s="498"/>
      <c r="E133" s="498"/>
      <c r="F133" s="500"/>
      <c r="G133" s="35">
        <f t="shared" si="5"/>
        <v>0</v>
      </c>
      <c r="H133" s="511">
        <f>IF(Consolidado_A!$G$133=7.6%,-(0.0165+0.076)*F133,0)</f>
        <v>0</v>
      </c>
      <c r="I133" s="35">
        <f t="shared" si="6"/>
        <v>0</v>
      </c>
      <c r="J133" s="530"/>
      <c r="K133" s="506"/>
      <c r="M133" s="513">
        <f t="shared" si="7"/>
        <v>0</v>
      </c>
      <c r="N133" s="3"/>
      <c r="O133" s="513">
        <f t="shared" si="8"/>
        <v>0</v>
      </c>
      <c r="Q133" s="500"/>
      <c r="S133" s="513">
        <f t="shared" si="9"/>
        <v>0</v>
      </c>
    </row>
    <row r="134" spans="2:19" s="453" customFormat="1" ht="12">
      <c r="B134" s="517">
        <v>122</v>
      </c>
      <c r="C134" s="528"/>
      <c r="D134" s="498"/>
      <c r="E134" s="498"/>
      <c r="F134" s="500"/>
      <c r="G134" s="35">
        <f t="shared" si="5"/>
        <v>0</v>
      </c>
      <c r="H134" s="511">
        <f>IF(Consolidado_A!$G$133=7.6%,-(0.0165+0.076)*F134,0)</f>
        <v>0</v>
      </c>
      <c r="I134" s="35">
        <f t="shared" si="6"/>
        <v>0</v>
      </c>
      <c r="J134" s="530"/>
      <c r="K134" s="506"/>
      <c r="M134" s="513">
        <f t="shared" si="7"/>
        <v>0</v>
      </c>
      <c r="N134" s="3"/>
      <c r="O134" s="513">
        <f t="shared" si="8"/>
        <v>0</v>
      </c>
      <c r="Q134" s="500"/>
      <c r="S134" s="513">
        <f t="shared" si="9"/>
        <v>0</v>
      </c>
    </row>
    <row r="135" spans="2:19" s="453" customFormat="1" ht="12">
      <c r="B135" s="517">
        <v>123</v>
      </c>
      <c r="C135" s="528"/>
      <c r="D135" s="498"/>
      <c r="E135" s="498"/>
      <c r="F135" s="500"/>
      <c r="G135" s="35">
        <f t="shared" si="5"/>
        <v>0</v>
      </c>
      <c r="H135" s="511">
        <f>IF(Consolidado_A!$G$133=7.6%,-(0.0165+0.076)*F135,0)</f>
        <v>0</v>
      </c>
      <c r="I135" s="35">
        <f t="shared" si="6"/>
        <v>0</v>
      </c>
      <c r="J135" s="530"/>
      <c r="K135" s="506"/>
      <c r="M135" s="513">
        <f t="shared" si="7"/>
        <v>0</v>
      </c>
      <c r="N135" s="3"/>
      <c r="O135" s="513">
        <f t="shared" si="8"/>
        <v>0</v>
      </c>
      <c r="Q135" s="500"/>
      <c r="S135" s="513">
        <f t="shared" si="9"/>
        <v>0</v>
      </c>
    </row>
    <row r="136" spans="2:19" s="453" customFormat="1" ht="12">
      <c r="B136" s="517">
        <v>124</v>
      </c>
      <c r="C136" s="528"/>
      <c r="D136" s="498"/>
      <c r="E136" s="498"/>
      <c r="F136" s="500"/>
      <c r="G136" s="35">
        <f t="shared" si="5"/>
        <v>0</v>
      </c>
      <c r="H136" s="511">
        <f>IF(Consolidado_A!$G$133=7.6%,-(0.0165+0.076)*F136,0)</f>
        <v>0</v>
      </c>
      <c r="I136" s="35">
        <f t="shared" si="6"/>
        <v>0</v>
      </c>
      <c r="J136" s="530"/>
      <c r="K136" s="506"/>
      <c r="M136" s="513">
        <f t="shared" si="7"/>
        <v>0</v>
      </c>
      <c r="N136" s="3"/>
      <c r="O136" s="513">
        <f t="shared" si="8"/>
        <v>0</v>
      </c>
      <c r="Q136" s="500"/>
      <c r="S136" s="513">
        <f t="shared" si="9"/>
        <v>0</v>
      </c>
    </row>
    <row r="137" spans="2:19" s="453" customFormat="1" ht="12">
      <c r="B137" s="517">
        <v>125</v>
      </c>
      <c r="C137" s="528"/>
      <c r="D137" s="498"/>
      <c r="E137" s="498"/>
      <c r="F137" s="500"/>
      <c r="G137" s="35">
        <f t="shared" si="5"/>
        <v>0</v>
      </c>
      <c r="H137" s="511">
        <f>IF(Consolidado_A!$G$133=7.6%,-(0.0165+0.076)*F137,0)</f>
        <v>0</v>
      </c>
      <c r="I137" s="35">
        <f t="shared" si="6"/>
        <v>0</v>
      </c>
      <c r="J137" s="530"/>
      <c r="K137" s="506"/>
      <c r="M137" s="513">
        <f t="shared" si="7"/>
        <v>0</v>
      </c>
      <c r="N137" s="3"/>
      <c r="O137" s="513">
        <f t="shared" si="8"/>
        <v>0</v>
      </c>
      <c r="Q137" s="500"/>
      <c r="S137" s="513">
        <f t="shared" si="9"/>
        <v>0</v>
      </c>
    </row>
    <row r="138" spans="2:19" s="453" customFormat="1" ht="12">
      <c r="B138" s="517">
        <v>126</v>
      </c>
      <c r="C138" s="528"/>
      <c r="D138" s="498"/>
      <c r="E138" s="498"/>
      <c r="F138" s="500"/>
      <c r="G138" s="35">
        <f t="shared" si="5"/>
        <v>0</v>
      </c>
      <c r="H138" s="511">
        <f>IF(Consolidado_A!$G$133=7.6%,-(0.0165+0.076)*F138,0)</f>
        <v>0</v>
      </c>
      <c r="I138" s="35">
        <f t="shared" si="6"/>
        <v>0</v>
      </c>
      <c r="J138" s="530"/>
      <c r="K138" s="506"/>
      <c r="M138" s="513">
        <f t="shared" si="7"/>
        <v>0</v>
      </c>
      <c r="N138" s="3"/>
      <c r="O138" s="513">
        <f t="shared" si="8"/>
        <v>0</v>
      </c>
      <c r="Q138" s="500"/>
      <c r="S138" s="513">
        <f t="shared" si="9"/>
        <v>0</v>
      </c>
    </row>
    <row r="139" spans="2:19" s="453" customFormat="1" ht="12">
      <c r="B139" s="517">
        <v>127</v>
      </c>
      <c r="C139" s="528"/>
      <c r="D139" s="498"/>
      <c r="E139" s="498"/>
      <c r="F139" s="500"/>
      <c r="G139" s="35">
        <f t="shared" si="5"/>
        <v>0</v>
      </c>
      <c r="H139" s="511">
        <f>IF(Consolidado_A!$G$133=7.6%,-(0.0165+0.076)*F139,0)</f>
        <v>0</v>
      </c>
      <c r="I139" s="35">
        <f t="shared" si="6"/>
        <v>0</v>
      </c>
      <c r="J139" s="530"/>
      <c r="K139" s="506"/>
      <c r="M139" s="513">
        <f t="shared" si="7"/>
        <v>0</v>
      </c>
      <c r="N139" s="3"/>
      <c r="O139" s="513">
        <f t="shared" si="8"/>
        <v>0</v>
      </c>
      <c r="Q139" s="500"/>
      <c r="S139" s="513">
        <f t="shared" si="9"/>
        <v>0</v>
      </c>
    </row>
    <row r="140" spans="2:19" s="453" customFormat="1" ht="12">
      <c r="B140" s="517">
        <v>128</v>
      </c>
      <c r="C140" s="528"/>
      <c r="D140" s="498"/>
      <c r="E140" s="498"/>
      <c r="F140" s="500"/>
      <c r="G140" s="35">
        <f t="shared" si="5"/>
        <v>0</v>
      </c>
      <c r="H140" s="511">
        <f>IF(Consolidado_A!$G$133=7.6%,-(0.0165+0.076)*F140,0)</f>
        <v>0</v>
      </c>
      <c r="I140" s="35">
        <f t="shared" si="6"/>
        <v>0</v>
      </c>
      <c r="J140" s="530"/>
      <c r="K140" s="506"/>
      <c r="M140" s="513">
        <f t="shared" si="7"/>
        <v>0</v>
      </c>
      <c r="N140" s="3"/>
      <c r="O140" s="513">
        <f t="shared" si="8"/>
        <v>0</v>
      </c>
      <c r="Q140" s="500"/>
      <c r="S140" s="513">
        <f t="shared" si="9"/>
        <v>0</v>
      </c>
    </row>
    <row r="141" spans="2:19" s="453" customFormat="1" ht="12">
      <c r="B141" s="517">
        <v>129</v>
      </c>
      <c r="C141" s="528"/>
      <c r="D141" s="498"/>
      <c r="E141" s="498"/>
      <c r="F141" s="500"/>
      <c r="G141" s="35">
        <f t="shared" ref="G141:G204" si="10">F141*E141</f>
        <v>0</v>
      </c>
      <c r="H141" s="511">
        <f>IF(Consolidado_A!$G$133=7.6%,-(0.0165+0.076)*F141,0)</f>
        <v>0</v>
      </c>
      <c r="I141" s="35">
        <f t="shared" ref="I141:I204" si="11">H141*E141</f>
        <v>0</v>
      </c>
      <c r="J141" s="530"/>
      <c r="K141" s="506"/>
      <c r="M141" s="513">
        <f t="shared" ref="M141:M204" si="12">IF(E141&gt;0,(F141+H141)-J141,0)</f>
        <v>0</v>
      </c>
      <c r="N141" s="3"/>
      <c r="O141" s="513">
        <f t="shared" ref="O141:O204" si="13">IF(E141=0,0,(M141/K141)*E141)</f>
        <v>0</v>
      </c>
      <c r="Q141" s="500"/>
      <c r="S141" s="513">
        <f t="shared" ref="S141:S204" si="14">Q141*E141</f>
        <v>0</v>
      </c>
    </row>
    <row r="142" spans="2:19" s="453" customFormat="1" ht="12">
      <c r="B142" s="517">
        <v>130</v>
      </c>
      <c r="C142" s="528"/>
      <c r="D142" s="498"/>
      <c r="E142" s="498"/>
      <c r="F142" s="500"/>
      <c r="G142" s="35">
        <f t="shared" si="10"/>
        <v>0</v>
      </c>
      <c r="H142" s="511">
        <f>IF(Consolidado_A!$G$133=7.6%,-(0.0165+0.076)*F142,0)</f>
        <v>0</v>
      </c>
      <c r="I142" s="35">
        <f t="shared" si="11"/>
        <v>0</v>
      </c>
      <c r="J142" s="530"/>
      <c r="K142" s="506"/>
      <c r="M142" s="513">
        <f t="shared" si="12"/>
        <v>0</v>
      </c>
      <c r="N142" s="3"/>
      <c r="O142" s="513">
        <f t="shared" si="13"/>
        <v>0</v>
      </c>
      <c r="Q142" s="500"/>
      <c r="S142" s="513">
        <f t="shared" si="14"/>
        <v>0</v>
      </c>
    </row>
    <row r="143" spans="2:19" s="453" customFormat="1" ht="12">
      <c r="B143" s="517">
        <v>131</v>
      </c>
      <c r="C143" s="528"/>
      <c r="D143" s="498"/>
      <c r="E143" s="498"/>
      <c r="F143" s="500"/>
      <c r="G143" s="35">
        <f t="shared" si="10"/>
        <v>0</v>
      </c>
      <c r="H143" s="511">
        <f>IF(Consolidado_A!$G$133=7.6%,-(0.0165+0.076)*F143,0)</f>
        <v>0</v>
      </c>
      <c r="I143" s="35">
        <f t="shared" si="11"/>
        <v>0</v>
      </c>
      <c r="J143" s="530"/>
      <c r="K143" s="506"/>
      <c r="M143" s="513">
        <f t="shared" si="12"/>
        <v>0</v>
      </c>
      <c r="N143" s="3"/>
      <c r="O143" s="513">
        <f t="shared" si="13"/>
        <v>0</v>
      </c>
      <c r="Q143" s="500"/>
      <c r="S143" s="513">
        <f t="shared" si="14"/>
        <v>0</v>
      </c>
    </row>
    <row r="144" spans="2:19" s="453" customFormat="1" ht="12">
      <c r="B144" s="517">
        <v>132</v>
      </c>
      <c r="C144" s="528"/>
      <c r="D144" s="498"/>
      <c r="E144" s="498"/>
      <c r="F144" s="500"/>
      <c r="G144" s="35">
        <f t="shared" si="10"/>
        <v>0</v>
      </c>
      <c r="H144" s="511">
        <f>IF(Consolidado_A!$G$133=7.6%,-(0.0165+0.076)*F144,0)</f>
        <v>0</v>
      </c>
      <c r="I144" s="35">
        <f t="shared" si="11"/>
        <v>0</v>
      </c>
      <c r="J144" s="530"/>
      <c r="K144" s="506"/>
      <c r="M144" s="513">
        <f t="shared" si="12"/>
        <v>0</v>
      </c>
      <c r="N144" s="3"/>
      <c r="O144" s="513">
        <f t="shared" si="13"/>
        <v>0</v>
      </c>
      <c r="Q144" s="500"/>
      <c r="S144" s="513">
        <f t="shared" si="14"/>
        <v>0</v>
      </c>
    </row>
    <row r="145" spans="2:19" s="453" customFormat="1" ht="12">
      <c r="B145" s="517">
        <v>133</v>
      </c>
      <c r="C145" s="528"/>
      <c r="D145" s="498"/>
      <c r="E145" s="498"/>
      <c r="F145" s="500"/>
      <c r="G145" s="35">
        <f t="shared" si="10"/>
        <v>0</v>
      </c>
      <c r="H145" s="511">
        <f>IF(Consolidado_A!$G$133=7.6%,-(0.0165+0.076)*F145,0)</f>
        <v>0</v>
      </c>
      <c r="I145" s="35">
        <f t="shared" si="11"/>
        <v>0</v>
      </c>
      <c r="J145" s="530"/>
      <c r="K145" s="506"/>
      <c r="M145" s="513">
        <f t="shared" si="12"/>
        <v>0</v>
      </c>
      <c r="N145" s="3"/>
      <c r="O145" s="513">
        <f t="shared" si="13"/>
        <v>0</v>
      </c>
      <c r="Q145" s="500"/>
      <c r="S145" s="513">
        <f t="shared" si="14"/>
        <v>0</v>
      </c>
    </row>
    <row r="146" spans="2:19" s="453" customFormat="1" ht="12">
      <c r="B146" s="517">
        <v>134</v>
      </c>
      <c r="C146" s="528"/>
      <c r="D146" s="498"/>
      <c r="E146" s="498"/>
      <c r="F146" s="500"/>
      <c r="G146" s="35">
        <f t="shared" si="10"/>
        <v>0</v>
      </c>
      <c r="H146" s="511">
        <f>IF(Consolidado_A!$G$133=7.6%,-(0.0165+0.076)*F146,0)</f>
        <v>0</v>
      </c>
      <c r="I146" s="35">
        <f t="shared" si="11"/>
        <v>0</v>
      </c>
      <c r="J146" s="530"/>
      <c r="K146" s="506"/>
      <c r="M146" s="513">
        <f t="shared" si="12"/>
        <v>0</v>
      </c>
      <c r="N146" s="3"/>
      <c r="O146" s="513">
        <f t="shared" si="13"/>
        <v>0</v>
      </c>
      <c r="Q146" s="500"/>
      <c r="S146" s="513">
        <f t="shared" si="14"/>
        <v>0</v>
      </c>
    </row>
    <row r="147" spans="2:19" s="453" customFormat="1" ht="12">
      <c r="B147" s="517">
        <v>135</v>
      </c>
      <c r="C147" s="528"/>
      <c r="D147" s="498"/>
      <c r="E147" s="498"/>
      <c r="F147" s="500"/>
      <c r="G147" s="35">
        <f t="shared" si="10"/>
        <v>0</v>
      </c>
      <c r="H147" s="511">
        <f>IF(Consolidado_A!$G$133=7.6%,-(0.0165+0.076)*F147,0)</f>
        <v>0</v>
      </c>
      <c r="I147" s="35">
        <f t="shared" si="11"/>
        <v>0</v>
      </c>
      <c r="J147" s="530"/>
      <c r="K147" s="506"/>
      <c r="M147" s="513">
        <f t="shared" si="12"/>
        <v>0</v>
      </c>
      <c r="N147" s="3"/>
      <c r="O147" s="513">
        <f t="shared" si="13"/>
        <v>0</v>
      </c>
      <c r="Q147" s="500"/>
      <c r="S147" s="513">
        <f t="shared" si="14"/>
        <v>0</v>
      </c>
    </row>
    <row r="148" spans="2:19" s="453" customFormat="1" ht="12">
      <c r="B148" s="517">
        <v>136</v>
      </c>
      <c r="C148" s="528"/>
      <c r="D148" s="498"/>
      <c r="E148" s="498"/>
      <c r="F148" s="500"/>
      <c r="G148" s="35">
        <f t="shared" si="10"/>
        <v>0</v>
      </c>
      <c r="H148" s="511">
        <f>IF(Consolidado_A!$G$133=7.6%,-(0.0165+0.076)*F148,0)</f>
        <v>0</v>
      </c>
      <c r="I148" s="35">
        <f t="shared" si="11"/>
        <v>0</v>
      </c>
      <c r="J148" s="530"/>
      <c r="K148" s="506"/>
      <c r="M148" s="513">
        <f t="shared" si="12"/>
        <v>0</v>
      </c>
      <c r="N148" s="3"/>
      <c r="O148" s="513">
        <f t="shared" si="13"/>
        <v>0</v>
      </c>
      <c r="Q148" s="500"/>
      <c r="S148" s="513">
        <f t="shared" si="14"/>
        <v>0</v>
      </c>
    </row>
    <row r="149" spans="2:19" s="453" customFormat="1" ht="12">
      <c r="B149" s="517">
        <v>137</v>
      </c>
      <c r="C149" s="528"/>
      <c r="D149" s="498"/>
      <c r="E149" s="498"/>
      <c r="F149" s="500"/>
      <c r="G149" s="35">
        <f t="shared" si="10"/>
        <v>0</v>
      </c>
      <c r="H149" s="511">
        <f>IF(Consolidado_A!$G$133=7.6%,-(0.0165+0.076)*F149,0)</f>
        <v>0</v>
      </c>
      <c r="I149" s="35">
        <f t="shared" si="11"/>
        <v>0</v>
      </c>
      <c r="J149" s="530"/>
      <c r="K149" s="506"/>
      <c r="M149" s="513">
        <f t="shared" si="12"/>
        <v>0</v>
      </c>
      <c r="N149" s="3"/>
      <c r="O149" s="513">
        <f t="shared" si="13"/>
        <v>0</v>
      </c>
      <c r="Q149" s="500"/>
      <c r="S149" s="513">
        <f t="shared" si="14"/>
        <v>0</v>
      </c>
    </row>
    <row r="150" spans="2:19" s="453" customFormat="1" ht="12">
      <c r="B150" s="517">
        <v>138</v>
      </c>
      <c r="C150" s="528"/>
      <c r="D150" s="498"/>
      <c r="E150" s="498"/>
      <c r="F150" s="500"/>
      <c r="G150" s="35">
        <f t="shared" si="10"/>
        <v>0</v>
      </c>
      <c r="H150" s="511">
        <f>IF(Consolidado_A!$G$133=7.6%,-(0.0165+0.076)*F150,0)</f>
        <v>0</v>
      </c>
      <c r="I150" s="35">
        <f t="shared" si="11"/>
        <v>0</v>
      </c>
      <c r="J150" s="530"/>
      <c r="K150" s="506"/>
      <c r="M150" s="513">
        <f t="shared" si="12"/>
        <v>0</v>
      </c>
      <c r="N150" s="3"/>
      <c r="O150" s="513">
        <f t="shared" si="13"/>
        <v>0</v>
      </c>
      <c r="Q150" s="500"/>
      <c r="S150" s="513">
        <f t="shared" si="14"/>
        <v>0</v>
      </c>
    </row>
    <row r="151" spans="2:19" s="453" customFormat="1" ht="12">
      <c r="B151" s="517">
        <v>139</v>
      </c>
      <c r="C151" s="528"/>
      <c r="D151" s="498"/>
      <c r="E151" s="498"/>
      <c r="F151" s="500"/>
      <c r="G151" s="35">
        <f t="shared" si="10"/>
        <v>0</v>
      </c>
      <c r="H151" s="511">
        <f>IF(Consolidado_A!$G$133=7.6%,-(0.0165+0.076)*F151,0)</f>
        <v>0</v>
      </c>
      <c r="I151" s="35">
        <f t="shared" si="11"/>
        <v>0</v>
      </c>
      <c r="J151" s="530"/>
      <c r="K151" s="506"/>
      <c r="M151" s="513">
        <f t="shared" si="12"/>
        <v>0</v>
      </c>
      <c r="N151" s="3"/>
      <c r="O151" s="513">
        <f t="shared" si="13"/>
        <v>0</v>
      </c>
      <c r="Q151" s="500"/>
      <c r="S151" s="513">
        <f t="shared" si="14"/>
        <v>0</v>
      </c>
    </row>
    <row r="152" spans="2:19" s="453" customFormat="1" ht="12">
      <c r="B152" s="517">
        <v>140</v>
      </c>
      <c r="C152" s="528"/>
      <c r="D152" s="498"/>
      <c r="E152" s="498"/>
      <c r="F152" s="500"/>
      <c r="G152" s="35">
        <f t="shared" si="10"/>
        <v>0</v>
      </c>
      <c r="H152" s="511">
        <f>IF(Consolidado_A!$G$133=7.6%,-(0.0165+0.076)*F152,0)</f>
        <v>0</v>
      </c>
      <c r="I152" s="35">
        <f t="shared" si="11"/>
        <v>0</v>
      </c>
      <c r="J152" s="530"/>
      <c r="K152" s="506"/>
      <c r="M152" s="513">
        <f t="shared" si="12"/>
        <v>0</v>
      </c>
      <c r="N152" s="3"/>
      <c r="O152" s="513">
        <f t="shared" si="13"/>
        <v>0</v>
      </c>
      <c r="Q152" s="500"/>
      <c r="S152" s="513">
        <f t="shared" si="14"/>
        <v>0</v>
      </c>
    </row>
    <row r="153" spans="2:19" s="453" customFormat="1" ht="12">
      <c r="B153" s="517">
        <v>141</v>
      </c>
      <c r="C153" s="528"/>
      <c r="D153" s="498"/>
      <c r="E153" s="498"/>
      <c r="F153" s="500"/>
      <c r="G153" s="35">
        <f t="shared" si="10"/>
        <v>0</v>
      </c>
      <c r="H153" s="511">
        <f>IF(Consolidado_A!$G$133=7.6%,-(0.0165+0.076)*F153,0)</f>
        <v>0</v>
      </c>
      <c r="I153" s="35">
        <f t="shared" si="11"/>
        <v>0</v>
      </c>
      <c r="J153" s="530"/>
      <c r="K153" s="506"/>
      <c r="M153" s="513">
        <f t="shared" si="12"/>
        <v>0</v>
      </c>
      <c r="N153" s="3"/>
      <c r="O153" s="513">
        <f t="shared" si="13"/>
        <v>0</v>
      </c>
      <c r="Q153" s="500"/>
      <c r="S153" s="513">
        <f t="shared" si="14"/>
        <v>0</v>
      </c>
    </row>
    <row r="154" spans="2:19" s="453" customFormat="1" ht="12">
      <c r="B154" s="517">
        <v>142</v>
      </c>
      <c r="C154" s="528"/>
      <c r="D154" s="498"/>
      <c r="E154" s="498"/>
      <c r="F154" s="500"/>
      <c r="G154" s="35">
        <f t="shared" si="10"/>
        <v>0</v>
      </c>
      <c r="H154" s="511">
        <f>IF(Consolidado_A!$G$133=7.6%,-(0.0165+0.076)*F154,0)</f>
        <v>0</v>
      </c>
      <c r="I154" s="35">
        <f t="shared" si="11"/>
        <v>0</v>
      </c>
      <c r="J154" s="530"/>
      <c r="K154" s="506"/>
      <c r="M154" s="513">
        <f t="shared" si="12"/>
        <v>0</v>
      </c>
      <c r="N154" s="3"/>
      <c r="O154" s="513">
        <f t="shared" si="13"/>
        <v>0</v>
      </c>
      <c r="Q154" s="500"/>
      <c r="S154" s="513">
        <f t="shared" si="14"/>
        <v>0</v>
      </c>
    </row>
    <row r="155" spans="2:19" s="453" customFormat="1" ht="12">
      <c r="B155" s="517">
        <v>143</v>
      </c>
      <c r="C155" s="528"/>
      <c r="D155" s="498"/>
      <c r="E155" s="498"/>
      <c r="F155" s="500"/>
      <c r="G155" s="35">
        <f t="shared" si="10"/>
        <v>0</v>
      </c>
      <c r="H155" s="511">
        <f>IF(Consolidado_A!$G$133=7.6%,-(0.0165+0.076)*F155,0)</f>
        <v>0</v>
      </c>
      <c r="I155" s="35">
        <f t="shared" si="11"/>
        <v>0</v>
      </c>
      <c r="J155" s="530"/>
      <c r="K155" s="506"/>
      <c r="M155" s="513">
        <f t="shared" si="12"/>
        <v>0</v>
      </c>
      <c r="N155" s="3"/>
      <c r="O155" s="513">
        <f t="shared" si="13"/>
        <v>0</v>
      </c>
      <c r="Q155" s="500"/>
      <c r="S155" s="513">
        <f t="shared" si="14"/>
        <v>0</v>
      </c>
    </row>
    <row r="156" spans="2:19" s="453" customFormat="1" ht="12">
      <c r="B156" s="517">
        <v>144</v>
      </c>
      <c r="C156" s="528"/>
      <c r="D156" s="498"/>
      <c r="E156" s="498"/>
      <c r="F156" s="500"/>
      <c r="G156" s="35">
        <f t="shared" si="10"/>
        <v>0</v>
      </c>
      <c r="H156" s="511">
        <f>IF(Consolidado_A!$G$133=7.6%,-(0.0165+0.076)*F156,0)</f>
        <v>0</v>
      </c>
      <c r="I156" s="35">
        <f t="shared" si="11"/>
        <v>0</v>
      </c>
      <c r="J156" s="530"/>
      <c r="K156" s="506"/>
      <c r="M156" s="513">
        <f t="shared" si="12"/>
        <v>0</v>
      </c>
      <c r="N156" s="3"/>
      <c r="O156" s="513">
        <f t="shared" si="13"/>
        <v>0</v>
      </c>
      <c r="Q156" s="500"/>
      <c r="S156" s="513">
        <f t="shared" si="14"/>
        <v>0</v>
      </c>
    </row>
    <row r="157" spans="2:19" s="453" customFormat="1" ht="12">
      <c r="B157" s="517">
        <v>145</v>
      </c>
      <c r="C157" s="528"/>
      <c r="D157" s="498"/>
      <c r="E157" s="498"/>
      <c r="F157" s="500"/>
      <c r="G157" s="35">
        <f t="shared" si="10"/>
        <v>0</v>
      </c>
      <c r="H157" s="511">
        <f>IF(Consolidado_A!$G$133=7.6%,-(0.0165+0.076)*F157,0)</f>
        <v>0</v>
      </c>
      <c r="I157" s="35">
        <f t="shared" si="11"/>
        <v>0</v>
      </c>
      <c r="J157" s="530"/>
      <c r="K157" s="506"/>
      <c r="M157" s="513">
        <f t="shared" si="12"/>
        <v>0</v>
      </c>
      <c r="N157" s="3"/>
      <c r="O157" s="513">
        <f t="shared" si="13"/>
        <v>0</v>
      </c>
      <c r="Q157" s="500"/>
      <c r="S157" s="513">
        <f t="shared" si="14"/>
        <v>0</v>
      </c>
    </row>
    <row r="158" spans="2:19" s="453" customFormat="1" ht="12">
      <c r="B158" s="517">
        <v>146</v>
      </c>
      <c r="C158" s="528"/>
      <c r="D158" s="498"/>
      <c r="E158" s="498"/>
      <c r="F158" s="500"/>
      <c r="G158" s="35">
        <f t="shared" si="10"/>
        <v>0</v>
      </c>
      <c r="H158" s="511">
        <f>IF(Consolidado_A!$G$133=7.6%,-(0.0165+0.076)*F158,0)</f>
        <v>0</v>
      </c>
      <c r="I158" s="35">
        <f t="shared" si="11"/>
        <v>0</v>
      </c>
      <c r="J158" s="530"/>
      <c r="K158" s="506"/>
      <c r="M158" s="513">
        <f t="shared" si="12"/>
        <v>0</v>
      </c>
      <c r="N158" s="3"/>
      <c r="O158" s="513">
        <f t="shared" si="13"/>
        <v>0</v>
      </c>
      <c r="Q158" s="500"/>
      <c r="S158" s="513">
        <f t="shared" si="14"/>
        <v>0</v>
      </c>
    </row>
    <row r="159" spans="2:19" s="453" customFormat="1" ht="12">
      <c r="B159" s="517">
        <v>147</v>
      </c>
      <c r="C159" s="528"/>
      <c r="D159" s="498"/>
      <c r="E159" s="498"/>
      <c r="F159" s="500"/>
      <c r="G159" s="35">
        <f t="shared" si="10"/>
        <v>0</v>
      </c>
      <c r="H159" s="511">
        <f>IF(Consolidado_A!$G$133=7.6%,-(0.0165+0.076)*F159,0)</f>
        <v>0</v>
      </c>
      <c r="I159" s="35">
        <f t="shared" si="11"/>
        <v>0</v>
      </c>
      <c r="J159" s="530"/>
      <c r="K159" s="506"/>
      <c r="M159" s="513">
        <f t="shared" si="12"/>
        <v>0</v>
      </c>
      <c r="N159" s="3"/>
      <c r="O159" s="513">
        <f t="shared" si="13"/>
        <v>0</v>
      </c>
      <c r="Q159" s="500"/>
      <c r="S159" s="513">
        <f t="shared" si="14"/>
        <v>0</v>
      </c>
    </row>
    <row r="160" spans="2:19" s="453" customFormat="1" ht="12">
      <c r="B160" s="517">
        <v>148</v>
      </c>
      <c r="C160" s="528"/>
      <c r="D160" s="498"/>
      <c r="E160" s="498"/>
      <c r="F160" s="500"/>
      <c r="G160" s="35">
        <f t="shared" si="10"/>
        <v>0</v>
      </c>
      <c r="H160" s="511">
        <f>IF(Consolidado_A!$G$133=7.6%,-(0.0165+0.076)*F160,0)</f>
        <v>0</v>
      </c>
      <c r="I160" s="35">
        <f t="shared" si="11"/>
        <v>0</v>
      </c>
      <c r="J160" s="530"/>
      <c r="K160" s="506"/>
      <c r="M160" s="513">
        <f t="shared" si="12"/>
        <v>0</v>
      </c>
      <c r="N160" s="3"/>
      <c r="O160" s="513">
        <f t="shared" si="13"/>
        <v>0</v>
      </c>
      <c r="Q160" s="500"/>
      <c r="S160" s="513">
        <f t="shared" si="14"/>
        <v>0</v>
      </c>
    </row>
    <row r="161" spans="2:19" s="453" customFormat="1" ht="12">
      <c r="B161" s="517">
        <v>149</v>
      </c>
      <c r="C161" s="528"/>
      <c r="D161" s="498"/>
      <c r="E161" s="498"/>
      <c r="F161" s="500"/>
      <c r="G161" s="35">
        <f t="shared" si="10"/>
        <v>0</v>
      </c>
      <c r="H161" s="511">
        <f>IF(Consolidado_A!$G$133=7.6%,-(0.0165+0.076)*F161,0)</f>
        <v>0</v>
      </c>
      <c r="I161" s="35">
        <f t="shared" si="11"/>
        <v>0</v>
      </c>
      <c r="J161" s="530"/>
      <c r="K161" s="506"/>
      <c r="M161" s="513">
        <f t="shared" si="12"/>
        <v>0</v>
      </c>
      <c r="N161" s="3"/>
      <c r="O161" s="513">
        <f t="shared" si="13"/>
        <v>0</v>
      </c>
      <c r="Q161" s="500"/>
      <c r="S161" s="513">
        <f t="shared" si="14"/>
        <v>0</v>
      </c>
    </row>
    <row r="162" spans="2:19" s="453" customFormat="1" ht="12">
      <c r="B162" s="517">
        <v>150</v>
      </c>
      <c r="C162" s="528"/>
      <c r="D162" s="498"/>
      <c r="E162" s="498"/>
      <c r="F162" s="500"/>
      <c r="G162" s="35">
        <f t="shared" si="10"/>
        <v>0</v>
      </c>
      <c r="H162" s="511">
        <f>IF(Consolidado_A!$G$133=7.6%,-(0.0165+0.076)*F162,0)</f>
        <v>0</v>
      </c>
      <c r="I162" s="35">
        <f t="shared" si="11"/>
        <v>0</v>
      </c>
      <c r="J162" s="530"/>
      <c r="K162" s="506"/>
      <c r="M162" s="513">
        <f t="shared" si="12"/>
        <v>0</v>
      </c>
      <c r="N162" s="3"/>
      <c r="O162" s="513">
        <f t="shared" si="13"/>
        <v>0</v>
      </c>
      <c r="Q162" s="500"/>
      <c r="S162" s="513">
        <f t="shared" si="14"/>
        <v>0</v>
      </c>
    </row>
    <row r="163" spans="2:19" s="453" customFormat="1" ht="12">
      <c r="B163" s="517">
        <v>151</v>
      </c>
      <c r="C163" s="528"/>
      <c r="D163" s="498"/>
      <c r="E163" s="498"/>
      <c r="F163" s="500"/>
      <c r="G163" s="35">
        <f t="shared" si="10"/>
        <v>0</v>
      </c>
      <c r="H163" s="511">
        <f>IF(Consolidado_A!$G$133=7.6%,-(0.0165+0.076)*F163,0)</f>
        <v>0</v>
      </c>
      <c r="I163" s="35">
        <f t="shared" si="11"/>
        <v>0</v>
      </c>
      <c r="J163" s="530"/>
      <c r="K163" s="506"/>
      <c r="M163" s="513">
        <f t="shared" si="12"/>
        <v>0</v>
      </c>
      <c r="N163" s="3"/>
      <c r="O163" s="513">
        <f t="shared" si="13"/>
        <v>0</v>
      </c>
      <c r="Q163" s="500"/>
      <c r="S163" s="513">
        <f t="shared" si="14"/>
        <v>0</v>
      </c>
    </row>
    <row r="164" spans="2:19" s="453" customFormat="1" ht="12">
      <c r="B164" s="517">
        <v>152</v>
      </c>
      <c r="C164" s="528"/>
      <c r="D164" s="498"/>
      <c r="E164" s="498"/>
      <c r="F164" s="500"/>
      <c r="G164" s="35">
        <f t="shared" si="10"/>
        <v>0</v>
      </c>
      <c r="H164" s="511">
        <f>IF(Consolidado_A!$G$133=7.6%,-(0.0165+0.076)*F164,0)</f>
        <v>0</v>
      </c>
      <c r="I164" s="35">
        <f t="shared" si="11"/>
        <v>0</v>
      </c>
      <c r="J164" s="530"/>
      <c r="K164" s="506"/>
      <c r="M164" s="513">
        <f t="shared" si="12"/>
        <v>0</v>
      </c>
      <c r="N164" s="3"/>
      <c r="O164" s="513">
        <f t="shared" si="13"/>
        <v>0</v>
      </c>
      <c r="Q164" s="500"/>
      <c r="S164" s="513">
        <f t="shared" si="14"/>
        <v>0</v>
      </c>
    </row>
    <row r="165" spans="2:19" s="453" customFormat="1" ht="12">
      <c r="B165" s="517">
        <v>153</v>
      </c>
      <c r="C165" s="528"/>
      <c r="D165" s="498"/>
      <c r="E165" s="498"/>
      <c r="F165" s="500"/>
      <c r="G165" s="35">
        <f t="shared" si="10"/>
        <v>0</v>
      </c>
      <c r="H165" s="511">
        <f>IF(Consolidado_A!$G$133=7.6%,-(0.0165+0.076)*F165,0)</f>
        <v>0</v>
      </c>
      <c r="I165" s="35">
        <f t="shared" si="11"/>
        <v>0</v>
      </c>
      <c r="J165" s="530"/>
      <c r="K165" s="506"/>
      <c r="M165" s="513">
        <f t="shared" si="12"/>
        <v>0</v>
      </c>
      <c r="N165" s="3"/>
      <c r="O165" s="513">
        <f t="shared" si="13"/>
        <v>0</v>
      </c>
      <c r="Q165" s="500"/>
      <c r="S165" s="513">
        <f t="shared" si="14"/>
        <v>0</v>
      </c>
    </row>
    <row r="166" spans="2:19" s="453" customFormat="1" ht="12">
      <c r="B166" s="517">
        <v>154</v>
      </c>
      <c r="C166" s="528"/>
      <c r="D166" s="498"/>
      <c r="E166" s="498"/>
      <c r="F166" s="500"/>
      <c r="G166" s="35">
        <f t="shared" si="10"/>
        <v>0</v>
      </c>
      <c r="H166" s="511">
        <f>IF(Consolidado_A!$G$133=7.6%,-(0.0165+0.076)*F166,0)</f>
        <v>0</v>
      </c>
      <c r="I166" s="35">
        <f t="shared" si="11"/>
        <v>0</v>
      </c>
      <c r="J166" s="530"/>
      <c r="K166" s="506"/>
      <c r="M166" s="513">
        <f t="shared" si="12"/>
        <v>0</v>
      </c>
      <c r="N166" s="3"/>
      <c r="O166" s="513">
        <f t="shared" si="13"/>
        <v>0</v>
      </c>
      <c r="Q166" s="500"/>
      <c r="S166" s="513">
        <f t="shared" si="14"/>
        <v>0</v>
      </c>
    </row>
    <row r="167" spans="2:19" s="453" customFormat="1" ht="12">
      <c r="B167" s="517">
        <v>155</v>
      </c>
      <c r="C167" s="528"/>
      <c r="D167" s="498"/>
      <c r="E167" s="498"/>
      <c r="F167" s="500"/>
      <c r="G167" s="35">
        <f t="shared" si="10"/>
        <v>0</v>
      </c>
      <c r="H167" s="511">
        <f>IF(Consolidado_A!$G$133=7.6%,-(0.0165+0.076)*F167,0)</f>
        <v>0</v>
      </c>
      <c r="I167" s="35">
        <f t="shared" si="11"/>
        <v>0</v>
      </c>
      <c r="J167" s="530"/>
      <c r="K167" s="506"/>
      <c r="M167" s="513">
        <f t="shared" si="12"/>
        <v>0</v>
      </c>
      <c r="N167" s="3"/>
      <c r="O167" s="513">
        <f t="shared" si="13"/>
        <v>0</v>
      </c>
      <c r="Q167" s="500"/>
      <c r="S167" s="513">
        <f t="shared" si="14"/>
        <v>0</v>
      </c>
    </row>
    <row r="168" spans="2:19" s="453" customFormat="1" ht="12">
      <c r="B168" s="517">
        <v>156</v>
      </c>
      <c r="C168" s="528"/>
      <c r="D168" s="498"/>
      <c r="E168" s="498"/>
      <c r="F168" s="500"/>
      <c r="G168" s="35">
        <f t="shared" si="10"/>
        <v>0</v>
      </c>
      <c r="H168" s="511">
        <f>IF(Consolidado_A!$G$133=7.6%,-(0.0165+0.076)*F168,0)</f>
        <v>0</v>
      </c>
      <c r="I168" s="35">
        <f t="shared" si="11"/>
        <v>0</v>
      </c>
      <c r="J168" s="530"/>
      <c r="K168" s="506"/>
      <c r="M168" s="513">
        <f t="shared" si="12"/>
        <v>0</v>
      </c>
      <c r="N168" s="3"/>
      <c r="O168" s="513">
        <f t="shared" si="13"/>
        <v>0</v>
      </c>
      <c r="Q168" s="500"/>
      <c r="S168" s="513">
        <f t="shared" si="14"/>
        <v>0</v>
      </c>
    </row>
    <row r="169" spans="2:19" s="453" customFormat="1" ht="12">
      <c r="B169" s="517">
        <v>157</v>
      </c>
      <c r="C169" s="528"/>
      <c r="D169" s="498"/>
      <c r="E169" s="498"/>
      <c r="F169" s="500"/>
      <c r="G169" s="35">
        <f t="shared" si="10"/>
        <v>0</v>
      </c>
      <c r="H169" s="511">
        <f>IF(Consolidado_A!$G$133=7.6%,-(0.0165+0.076)*F169,0)</f>
        <v>0</v>
      </c>
      <c r="I169" s="35">
        <f t="shared" si="11"/>
        <v>0</v>
      </c>
      <c r="J169" s="530"/>
      <c r="K169" s="506"/>
      <c r="M169" s="513">
        <f t="shared" si="12"/>
        <v>0</v>
      </c>
      <c r="N169" s="3"/>
      <c r="O169" s="513">
        <f t="shared" si="13"/>
        <v>0</v>
      </c>
      <c r="Q169" s="500"/>
      <c r="S169" s="513">
        <f t="shared" si="14"/>
        <v>0</v>
      </c>
    </row>
    <row r="170" spans="2:19" s="453" customFormat="1" ht="12">
      <c r="B170" s="517">
        <v>158</v>
      </c>
      <c r="C170" s="528"/>
      <c r="D170" s="498"/>
      <c r="E170" s="498"/>
      <c r="F170" s="500"/>
      <c r="G170" s="35">
        <f t="shared" si="10"/>
        <v>0</v>
      </c>
      <c r="H170" s="511">
        <f>IF(Consolidado_A!$G$133=7.6%,-(0.0165+0.076)*F170,0)</f>
        <v>0</v>
      </c>
      <c r="I170" s="35">
        <f t="shared" si="11"/>
        <v>0</v>
      </c>
      <c r="J170" s="530"/>
      <c r="K170" s="506"/>
      <c r="M170" s="513">
        <f t="shared" si="12"/>
        <v>0</v>
      </c>
      <c r="N170" s="3"/>
      <c r="O170" s="513">
        <f t="shared" si="13"/>
        <v>0</v>
      </c>
      <c r="Q170" s="500"/>
      <c r="S170" s="513">
        <f t="shared" si="14"/>
        <v>0</v>
      </c>
    </row>
    <row r="171" spans="2:19" s="453" customFormat="1" ht="12">
      <c r="B171" s="517">
        <v>159</v>
      </c>
      <c r="C171" s="528"/>
      <c r="D171" s="498"/>
      <c r="E171" s="498"/>
      <c r="F171" s="500"/>
      <c r="G171" s="35">
        <f t="shared" si="10"/>
        <v>0</v>
      </c>
      <c r="H171" s="511">
        <f>IF(Consolidado_A!$G$133=7.6%,-(0.0165+0.076)*F171,0)</f>
        <v>0</v>
      </c>
      <c r="I171" s="35">
        <f t="shared" si="11"/>
        <v>0</v>
      </c>
      <c r="J171" s="530"/>
      <c r="K171" s="506"/>
      <c r="M171" s="513">
        <f t="shared" si="12"/>
        <v>0</v>
      </c>
      <c r="N171" s="3"/>
      <c r="O171" s="513">
        <f t="shared" si="13"/>
        <v>0</v>
      </c>
      <c r="Q171" s="500"/>
      <c r="S171" s="513">
        <f t="shared" si="14"/>
        <v>0</v>
      </c>
    </row>
    <row r="172" spans="2:19" s="453" customFormat="1" ht="12">
      <c r="B172" s="517">
        <v>160</v>
      </c>
      <c r="C172" s="528"/>
      <c r="D172" s="498"/>
      <c r="E172" s="498"/>
      <c r="F172" s="500"/>
      <c r="G172" s="35">
        <f t="shared" si="10"/>
        <v>0</v>
      </c>
      <c r="H172" s="511">
        <f>IF(Consolidado_A!$G$133=7.6%,-(0.0165+0.076)*F172,0)</f>
        <v>0</v>
      </c>
      <c r="I172" s="35">
        <f t="shared" si="11"/>
        <v>0</v>
      </c>
      <c r="J172" s="530"/>
      <c r="K172" s="506"/>
      <c r="M172" s="513">
        <f t="shared" si="12"/>
        <v>0</v>
      </c>
      <c r="N172" s="3"/>
      <c r="O172" s="513">
        <f t="shared" si="13"/>
        <v>0</v>
      </c>
      <c r="Q172" s="500"/>
      <c r="S172" s="513">
        <f t="shared" si="14"/>
        <v>0</v>
      </c>
    </row>
    <row r="173" spans="2:19" s="453" customFormat="1" ht="12">
      <c r="B173" s="517">
        <v>161</v>
      </c>
      <c r="C173" s="528"/>
      <c r="D173" s="498"/>
      <c r="E173" s="498"/>
      <c r="F173" s="500"/>
      <c r="G173" s="35">
        <f t="shared" si="10"/>
        <v>0</v>
      </c>
      <c r="H173" s="511">
        <f>IF(Consolidado_A!$G$133=7.6%,-(0.0165+0.076)*F173,0)</f>
        <v>0</v>
      </c>
      <c r="I173" s="35">
        <f t="shared" si="11"/>
        <v>0</v>
      </c>
      <c r="J173" s="530"/>
      <c r="K173" s="506"/>
      <c r="M173" s="513">
        <f t="shared" si="12"/>
        <v>0</v>
      </c>
      <c r="N173" s="3"/>
      <c r="O173" s="513">
        <f t="shared" si="13"/>
        <v>0</v>
      </c>
      <c r="Q173" s="500"/>
      <c r="S173" s="513">
        <f t="shared" si="14"/>
        <v>0</v>
      </c>
    </row>
    <row r="174" spans="2:19" s="453" customFormat="1" ht="12">
      <c r="B174" s="517">
        <v>162</v>
      </c>
      <c r="C174" s="528"/>
      <c r="D174" s="498"/>
      <c r="E174" s="498"/>
      <c r="F174" s="500"/>
      <c r="G174" s="35">
        <f t="shared" si="10"/>
        <v>0</v>
      </c>
      <c r="H174" s="511">
        <f>IF(Consolidado_A!$G$133=7.6%,-(0.0165+0.076)*F174,0)</f>
        <v>0</v>
      </c>
      <c r="I174" s="35">
        <f t="shared" si="11"/>
        <v>0</v>
      </c>
      <c r="J174" s="530"/>
      <c r="K174" s="506"/>
      <c r="M174" s="513">
        <f t="shared" si="12"/>
        <v>0</v>
      </c>
      <c r="N174" s="3"/>
      <c r="O174" s="513">
        <f t="shared" si="13"/>
        <v>0</v>
      </c>
      <c r="Q174" s="500"/>
      <c r="S174" s="513">
        <f t="shared" si="14"/>
        <v>0</v>
      </c>
    </row>
    <row r="175" spans="2:19" s="453" customFormat="1" ht="12">
      <c r="B175" s="517">
        <v>163</v>
      </c>
      <c r="C175" s="528"/>
      <c r="D175" s="498"/>
      <c r="E175" s="498"/>
      <c r="F175" s="500"/>
      <c r="G175" s="35">
        <f t="shared" si="10"/>
        <v>0</v>
      </c>
      <c r="H175" s="511">
        <f>IF(Consolidado_A!$G$133=7.6%,-(0.0165+0.076)*F175,0)</f>
        <v>0</v>
      </c>
      <c r="I175" s="35">
        <f t="shared" si="11"/>
        <v>0</v>
      </c>
      <c r="J175" s="530"/>
      <c r="K175" s="506"/>
      <c r="M175" s="513">
        <f t="shared" si="12"/>
        <v>0</v>
      </c>
      <c r="N175" s="3"/>
      <c r="O175" s="513">
        <f t="shared" si="13"/>
        <v>0</v>
      </c>
      <c r="Q175" s="500"/>
      <c r="S175" s="513">
        <f t="shared" si="14"/>
        <v>0</v>
      </c>
    </row>
    <row r="176" spans="2:19" s="453" customFormat="1" ht="12">
      <c r="B176" s="517">
        <v>164</v>
      </c>
      <c r="C176" s="528"/>
      <c r="D176" s="498"/>
      <c r="E176" s="498"/>
      <c r="F176" s="500"/>
      <c r="G176" s="35">
        <f t="shared" si="10"/>
        <v>0</v>
      </c>
      <c r="H176" s="511">
        <f>IF(Consolidado_A!$G$133=7.6%,-(0.0165+0.076)*F176,0)</f>
        <v>0</v>
      </c>
      <c r="I176" s="35">
        <f t="shared" si="11"/>
        <v>0</v>
      </c>
      <c r="J176" s="530"/>
      <c r="K176" s="506"/>
      <c r="M176" s="513">
        <f t="shared" si="12"/>
        <v>0</v>
      </c>
      <c r="N176" s="3"/>
      <c r="O176" s="513">
        <f t="shared" si="13"/>
        <v>0</v>
      </c>
      <c r="Q176" s="500"/>
      <c r="S176" s="513">
        <f t="shared" si="14"/>
        <v>0</v>
      </c>
    </row>
    <row r="177" spans="2:19" s="453" customFormat="1" ht="12">
      <c r="B177" s="517">
        <v>165</v>
      </c>
      <c r="C177" s="528"/>
      <c r="D177" s="498"/>
      <c r="E177" s="498"/>
      <c r="F177" s="500"/>
      <c r="G177" s="35">
        <f t="shared" si="10"/>
        <v>0</v>
      </c>
      <c r="H177" s="511">
        <f>IF(Consolidado_A!$G$133=7.6%,-(0.0165+0.076)*F177,0)</f>
        <v>0</v>
      </c>
      <c r="I177" s="35">
        <f t="shared" si="11"/>
        <v>0</v>
      </c>
      <c r="J177" s="530"/>
      <c r="K177" s="506"/>
      <c r="M177" s="513">
        <f t="shared" si="12"/>
        <v>0</v>
      </c>
      <c r="N177" s="3"/>
      <c r="O177" s="513">
        <f t="shared" si="13"/>
        <v>0</v>
      </c>
      <c r="Q177" s="500"/>
      <c r="S177" s="513">
        <f t="shared" si="14"/>
        <v>0</v>
      </c>
    </row>
    <row r="178" spans="2:19" s="453" customFormat="1" ht="12">
      <c r="B178" s="517">
        <v>166</v>
      </c>
      <c r="C178" s="528"/>
      <c r="D178" s="498"/>
      <c r="E178" s="498"/>
      <c r="F178" s="500"/>
      <c r="G178" s="35">
        <f t="shared" si="10"/>
        <v>0</v>
      </c>
      <c r="H178" s="511">
        <f>IF(Consolidado_A!$G$133=7.6%,-(0.0165+0.076)*F178,0)</f>
        <v>0</v>
      </c>
      <c r="I178" s="35">
        <f t="shared" si="11"/>
        <v>0</v>
      </c>
      <c r="J178" s="530"/>
      <c r="K178" s="506"/>
      <c r="M178" s="513">
        <f t="shared" si="12"/>
        <v>0</v>
      </c>
      <c r="N178" s="3"/>
      <c r="O178" s="513">
        <f t="shared" si="13"/>
        <v>0</v>
      </c>
      <c r="Q178" s="500"/>
      <c r="S178" s="513">
        <f t="shared" si="14"/>
        <v>0</v>
      </c>
    </row>
    <row r="179" spans="2:19" s="453" customFormat="1" ht="12">
      <c r="B179" s="517">
        <v>167</v>
      </c>
      <c r="C179" s="528"/>
      <c r="D179" s="498"/>
      <c r="E179" s="498"/>
      <c r="F179" s="500"/>
      <c r="G179" s="35">
        <f t="shared" si="10"/>
        <v>0</v>
      </c>
      <c r="H179" s="511">
        <f>IF(Consolidado_A!$G$133=7.6%,-(0.0165+0.076)*F179,0)</f>
        <v>0</v>
      </c>
      <c r="I179" s="35">
        <f t="shared" si="11"/>
        <v>0</v>
      </c>
      <c r="J179" s="530"/>
      <c r="K179" s="506"/>
      <c r="M179" s="513">
        <f t="shared" si="12"/>
        <v>0</v>
      </c>
      <c r="N179" s="3"/>
      <c r="O179" s="513">
        <f t="shared" si="13"/>
        <v>0</v>
      </c>
      <c r="Q179" s="500"/>
      <c r="S179" s="513">
        <f t="shared" si="14"/>
        <v>0</v>
      </c>
    </row>
    <row r="180" spans="2:19" s="453" customFormat="1" ht="12">
      <c r="B180" s="517">
        <v>168</v>
      </c>
      <c r="C180" s="528"/>
      <c r="D180" s="498"/>
      <c r="E180" s="498"/>
      <c r="F180" s="500"/>
      <c r="G180" s="35">
        <f t="shared" si="10"/>
        <v>0</v>
      </c>
      <c r="H180" s="511">
        <f>IF(Consolidado_A!$G$133=7.6%,-(0.0165+0.076)*F180,0)</f>
        <v>0</v>
      </c>
      <c r="I180" s="35">
        <f t="shared" si="11"/>
        <v>0</v>
      </c>
      <c r="J180" s="530"/>
      <c r="K180" s="506"/>
      <c r="M180" s="513">
        <f t="shared" si="12"/>
        <v>0</v>
      </c>
      <c r="N180" s="3"/>
      <c r="O180" s="513">
        <f t="shared" si="13"/>
        <v>0</v>
      </c>
      <c r="Q180" s="500"/>
      <c r="S180" s="513">
        <f t="shared" si="14"/>
        <v>0</v>
      </c>
    </row>
    <row r="181" spans="2:19" s="453" customFormat="1" ht="12">
      <c r="B181" s="517">
        <v>169</v>
      </c>
      <c r="C181" s="528"/>
      <c r="D181" s="498"/>
      <c r="E181" s="498"/>
      <c r="F181" s="500"/>
      <c r="G181" s="35">
        <f t="shared" si="10"/>
        <v>0</v>
      </c>
      <c r="H181" s="511">
        <f>IF(Consolidado_A!$G$133=7.6%,-(0.0165+0.076)*F181,0)</f>
        <v>0</v>
      </c>
      <c r="I181" s="35">
        <f t="shared" si="11"/>
        <v>0</v>
      </c>
      <c r="J181" s="530"/>
      <c r="K181" s="506"/>
      <c r="M181" s="513">
        <f t="shared" si="12"/>
        <v>0</v>
      </c>
      <c r="N181" s="3"/>
      <c r="O181" s="513">
        <f t="shared" si="13"/>
        <v>0</v>
      </c>
      <c r="Q181" s="500"/>
      <c r="S181" s="513">
        <f t="shared" si="14"/>
        <v>0</v>
      </c>
    </row>
    <row r="182" spans="2:19" s="453" customFormat="1" ht="12">
      <c r="B182" s="517">
        <v>170</v>
      </c>
      <c r="C182" s="528"/>
      <c r="D182" s="498"/>
      <c r="E182" s="498"/>
      <c r="F182" s="500"/>
      <c r="G182" s="35">
        <f t="shared" si="10"/>
        <v>0</v>
      </c>
      <c r="H182" s="511">
        <f>IF(Consolidado_A!$G$133=7.6%,-(0.0165+0.076)*F182,0)</f>
        <v>0</v>
      </c>
      <c r="I182" s="35">
        <f t="shared" si="11"/>
        <v>0</v>
      </c>
      <c r="J182" s="530"/>
      <c r="K182" s="506"/>
      <c r="M182" s="513">
        <f t="shared" si="12"/>
        <v>0</v>
      </c>
      <c r="N182" s="3"/>
      <c r="O182" s="513">
        <f t="shared" si="13"/>
        <v>0</v>
      </c>
      <c r="Q182" s="500"/>
      <c r="S182" s="513">
        <f t="shared" si="14"/>
        <v>0</v>
      </c>
    </row>
    <row r="183" spans="2:19" s="453" customFormat="1" ht="12">
      <c r="B183" s="517">
        <v>171</v>
      </c>
      <c r="C183" s="528"/>
      <c r="D183" s="498"/>
      <c r="E183" s="498"/>
      <c r="F183" s="500"/>
      <c r="G183" s="35">
        <f t="shared" si="10"/>
        <v>0</v>
      </c>
      <c r="H183" s="511">
        <f>IF(Consolidado_A!$G$133=7.6%,-(0.0165+0.076)*F183,0)</f>
        <v>0</v>
      </c>
      <c r="I183" s="35">
        <f t="shared" si="11"/>
        <v>0</v>
      </c>
      <c r="J183" s="530"/>
      <c r="K183" s="506"/>
      <c r="M183" s="513">
        <f t="shared" si="12"/>
        <v>0</v>
      </c>
      <c r="N183" s="3"/>
      <c r="O183" s="513">
        <f t="shared" si="13"/>
        <v>0</v>
      </c>
      <c r="Q183" s="500"/>
      <c r="S183" s="513">
        <f t="shared" si="14"/>
        <v>0</v>
      </c>
    </row>
    <row r="184" spans="2:19" s="453" customFormat="1" ht="12">
      <c r="B184" s="517">
        <v>172</v>
      </c>
      <c r="C184" s="528"/>
      <c r="D184" s="498"/>
      <c r="E184" s="498"/>
      <c r="F184" s="500"/>
      <c r="G184" s="35">
        <f t="shared" si="10"/>
        <v>0</v>
      </c>
      <c r="H184" s="511">
        <f>IF(Consolidado_A!$G$133=7.6%,-(0.0165+0.076)*F184,0)</f>
        <v>0</v>
      </c>
      <c r="I184" s="35">
        <f t="shared" si="11"/>
        <v>0</v>
      </c>
      <c r="J184" s="530"/>
      <c r="K184" s="506"/>
      <c r="M184" s="513">
        <f t="shared" si="12"/>
        <v>0</v>
      </c>
      <c r="N184" s="3"/>
      <c r="O184" s="513">
        <f t="shared" si="13"/>
        <v>0</v>
      </c>
      <c r="Q184" s="500"/>
      <c r="S184" s="513">
        <f t="shared" si="14"/>
        <v>0</v>
      </c>
    </row>
    <row r="185" spans="2:19" s="453" customFormat="1" ht="12">
      <c r="B185" s="517">
        <v>173</v>
      </c>
      <c r="C185" s="528"/>
      <c r="D185" s="498"/>
      <c r="E185" s="498"/>
      <c r="F185" s="500"/>
      <c r="G185" s="35">
        <f t="shared" si="10"/>
        <v>0</v>
      </c>
      <c r="H185" s="511">
        <f>IF(Consolidado_A!$G$133=7.6%,-(0.0165+0.076)*F185,0)</f>
        <v>0</v>
      </c>
      <c r="I185" s="35">
        <f t="shared" si="11"/>
        <v>0</v>
      </c>
      <c r="J185" s="530"/>
      <c r="K185" s="506"/>
      <c r="M185" s="513">
        <f t="shared" si="12"/>
        <v>0</v>
      </c>
      <c r="N185" s="3"/>
      <c r="O185" s="513">
        <f t="shared" si="13"/>
        <v>0</v>
      </c>
      <c r="Q185" s="500"/>
      <c r="S185" s="513">
        <f t="shared" si="14"/>
        <v>0</v>
      </c>
    </row>
    <row r="186" spans="2:19" s="453" customFormat="1" ht="12">
      <c r="B186" s="517">
        <v>174</v>
      </c>
      <c r="C186" s="528"/>
      <c r="D186" s="498"/>
      <c r="E186" s="498"/>
      <c r="F186" s="500"/>
      <c r="G186" s="35">
        <f t="shared" si="10"/>
        <v>0</v>
      </c>
      <c r="H186" s="511">
        <f>IF(Consolidado_A!$G$133=7.6%,-(0.0165+0.076)*F186,0)</f>
        <v>0</v>
      </c>
      <c r="I186" s="35">
        <f t="shared" si="11"/>
        <v>0</v>
      </c>
      <c r="J186" s="530"/>
      <c r="K186" s="506"/>
      <c r="M186" s="513">
        <f t="shared" si="12"/>
        <v>0</v>
      </c>
      <c r="N186" s="3"/>
      <c r="O186" s="513">
        <f t="shared" si="13"/>
        <v>0</v>
      </c>
      <c r="Q186" s="500"/>
      <c r="S186" s="513">
        <f t="shared" si="14"/>
        <v>0</v>
      </c>
    </row>
    <row r="187" spans="2:19" s="453" customFormat="1" ht="12">
      <c r="B187" s="517">
        <v>175</v>
      </c>
      <c r="C187" s="528"/>
      <c r="D187" s="498"/>
      <c r="E187" s="498"/>
      <c r="F187" s="500"/>
      <c r="G187" s="35">
        <f t="shared" si="10"/>
        <v>0</v>
      </c>
      <c r="H187" s="511">
        <f>IF(Consolidado_A!$G$133=7.6%,-(0.0165+0.076)*F187,0)</f>
        <v>0</v>
      </c>
      <c r="I187" s="35">
        <f t="shared" si="11"/>
        <v>0</v>
      </c>
      <c r="J187" s="530"/>
      <c r="K187" s="506"/>
      <c r="M187" s="513">
        <f t="shared" si="12"/>
        <v>0</v>
      </c>
      <c r="N187" s="3"/>
      <c r="O187" s="513">
        <f t="shared" si="13"/>
        <v>0</v>
      </c>
      <c r="Q187" s="500"/>
      <c r="S187" s="513">
        <f t="shared" si="14"/>
        <v>0</v>
      </c>
    </row>
    <row r="188" spans="2:19" s="453" customFormat="1" ht="12">
      <c r="B188" s="517">
        <v>176</v>
      </c>
      <c r="C188" s="528"/>
      <c r="D188" s="498"/>
      <c r="E188" s="498"/>
      <c r="F188" s="500"/>
      <c r="G188" s="35">
        <f t="shared" si="10"/>
        <v>0</v>
      </c>
      <c r="H188" s="511">
        <f>IF(Consolidado_A!$G$133=7.6%,-(0.0165+0.076)*F188,0)</f>
        <v>0</v>
      </c>
      <c r="I188" s="35">
        <f t="shared" si="11"/>
        <v>0</v>
      </c>
      <c r="J188" s="530"/>
      <c r="K188" s="506"/>
      <c r="M188" s="513">
        <f t="shared" si="12"/>
        <v>0</v>
      </c>
      <c r="N188" s="3"/>
      <c r="O188" s="513">
        <f t="shared" si="13"/>
        <v>0</v>
      </c>
      <c r="Q188" s="500"/>
      <c r="S188" s="513">
        <f t="shared" si="14"/>
        <v>0</v>
      </c>
    </row>
    <row r="189" spans="2:19" s="453" customFormat="1" ht="12">
      <c r="B189" s="517">
        <v>177</v>
      </c>
      <c r="C189" s="528"/>
      <c r="D189" s="498"/>
      <c r="E189" s="498"/>
      <c r="F189" s="500"/>
      <c r="G189" s="35">
        <f t="shared" si="10"/>
        <v>0</v>
      </c>
      <c r="H189" s="511">
        <f>IF(Consolidado_A!$G$133=7.6%,-(0.0165+0.076)*F189,0)</f>
        <v>0</v>
      </c>
      <c r="I189" s="35">
        <f t="shared" si="11"/>
        <v>0</v>
      </c>
      <c r="J189" s="530"/>
      <c r="K189" s="506"/>
      <c r="M189" s="513">
        <f t="shared" si="12"/>
        <v>0</v>
      </c>
      <c r="N189" s="3"/>
      <c r="O189" s="513">
        <f t="shared" si="13"/>
        <v>0</v>
      </c>
      <c r="Q189" s="500"/>
      <c r="S189" s="513">
        <f t="shared" si="14"/>
        <v>0</v>
      </c>
    </row>
    <row r="190" spans="2:19" s="453" customFormat="1" ht="12">
      <c r="B190" s="517">
        <v>178</v>
      </c>
      <c r="C190" s="528"/>
      <c r="D190" s="498"/>
      <c r="E190" s="498"/>
      <c r="F190" s="500"/>
      <c r="G190" s="35">
        <f t="shared" si="10"/>
        <v>0</v>
      </c>
      <c r="H190" s="511">
        <f>IF(Consolidado_A!$G$133=7.6%,-(0.0165+0.076)*F190,0)</f>
        <v>0</v>
      </c>
      <c r="I190" s="35">
        <f t="shared" si="11"/>
        <v>0</v>
      </c>
      <c r="J190" s="530"/>
      <c r="K190" s="506"/>
      <c r="M190" s="513">
        <f t="shared" si="12"/>
        <v>0</v>
      </c>
      <c r="N190" s="3"/>
      <c r="O190" s="513">
        <f t="shared" si="13"/>
        <v>0</v>
      </c>
      <c r="Q190" s="500"/>
      <c r="S190" s="513">
        <f t="shared" si="14"/>
        <v>0</v>
      </c>
    </row>
    <row r="191" spans="2:19" s="453" customFormat="1" ht="12">
      <c r="B191" s="517">
        <v>179</v>
      </c>
      <c r="C191" s="528"/>
      <c r="D191" s="498"/>
      <c r="E191" s="498"/>
      <c r="F191" s="500"/>
      <c r="G191" s="35">
        <f t="shared" si="10"/>
        <v>0</v>
      </c>
      <c r="H191" s="511">
        <f>IF(Consolidado_A!$G$133=7.6%,-(0.0165+0.076)*F191,0)</f>
        <v>0</v>
      </c>
      <c r="I191" s="35">
        <f t="shared" si="11"/>
        <v>0</v>
      </c>
      <c r="J191" s="530"/>
      <c r="K191" s="506"/>
      <c r="M191" s="513">
        <f t="shared" si="12"/>
        <v>0</v>
      </c>
      <c r="N191" s="3"/>
      <c r="O191" s="513">
        <f t="shared" si="13"/>
        <v>0</v>
      </c>
      <c r="Q191" s="500"/>
      <c r="S191" s="513">
        <f t="shared" si="14"/>
        <v>0</v>
      </c>
    </row>
    <row r="192" spans="2:19" s="453" customFormat="1" ht="12">
      <c r="B192" s="517">
        <v>180</v>
      </c>
      <c r="C192" s="528"/>
      <c r="D192" s="498"/>
      <c r="E192" s="498"/>
      <c r="F192" s="500"/>
      <c r="G192" s="35">
        <f t="shared" si="10"/>
        <v>0</v>
      </c>
      <c r="H192" s="511">
        <f>IF(Consolidado_A!$G$133=7.6%,-(0.0165+0.076)*F192,0)</f>
        <v>0</v>
      </c>
      <c r="I192" s="35">
        <f t="shared" si="11"/>
        <v>0</v>
      </c>
      <c r="J192" s="530"/>
      <c r="K192" s="506"/>
      <c r="M192" s="513">
        <f t="shared" si="12"/>
        <v>0</v>
      </c>
      <c r="N192" s="3"/>
      <c r="O192" s="513">
        <f t="shared" si="13"/>
        <v>0</v>
      </c>
      <c r="Q192" s="500"/>
      <c r="S192" s="513">
        <f t="shared" si="14"/>
        <v>0</v>
      </c>
    </row>
    <row r="193" spans="2:19" s="453" customFormat="1" ht="12">
      <c r="B193" s="517">
        <v>181</v>
      </c>
      <c r="C193" s="528"/>
      <c r="D193" s="498"/>
      <c r="E193" s="498"/>
      <c r="F193" s="500"/>
      <c r="G193" s="35">
        <f t="shared" si="10"/>
        <v>0</v>
      </c>
      <c r="H193" s="511">
        <f>IF(Consolidado_A!$G$133=7.6%,-(0.0165+0.076)*F193,0)</f>
        <v>0</v>
      </c>
      <c r="I193" s="35">
        <f t="shared" si="11"/>
        <v>0</v>
      </c>
      <c r="J193" s="530"/>
      <c r="K193" s="506"/>
      <c r="M193" s="513">
        <f t="shared" si="12"/>
        <v>0</v>
      </c>
      <c r="N193" s="3"/>
      <c r="O193" s="513">
        <f t="shared" si="13"/>
        <v>0</v>
      </c>
      <c r="Q193" s="500"/>
      <c r="S193" s="513">
        <f t="shared" si="14"/>
        <v>0</v>
      </c>
    </row>
    <row r="194" spans="2:19" s="453" customFormat="1" ht="12">
      <c r="B194" s="517">
        <v>182</v>
      </c>
      <c r="C194" s="528"/>
      <c r="D194" s="498"/>
      <c r="E194" s="498"/>
      <c r="F194" s="500"/>
      <c r="G194" s="35">
        <f t="shared" si="10"/>
        <v>0</v>
      </c>
      <c r="H194" s="511">
        <f>IF(Consolidado_A!$G$133=7.6%,-(0.0165+0.076)*F194,0)</f>
        <v>0</v>
      </c>
      <c r="I194" s="35">
        <f t="shared" si="11"/>
        <v>0</v>
      </c>
      <c r="J194" s="530"/>
      <c r="K194" s="506"/>
      <c r="M194" s="513">
        <f t="shared" si="12"/>
        <v>0</v>
      </c>
      <c r="N194" s="3"/>
      <c r="O194" s="513">
        <f t="shared" si="13"/>
        <v>0</v>
      </c>
      <c r="Q194" s="500"/>
      <c r="S194" s="513">
        <f t="shared" si="14"/>
        <v>0</v>
      </c>
    </row>
    <row r="195" spans="2:19" s="453" customFormat="1" ht="12">
      <c r="B195" s="517">
        <v>183</v>
      </c>
      <c r="C195" s="528"/>
      <c r="D195" s="498"/>
      <c r="E195" s="498"/>
      <c r="F195" s="500"/>
      <c r="G195" s="35">
        <f t="shared" si="10"/>
        <v>0</v>
      </c>
      <c r="H195" s="511">
        <f>IF(Consolidado_A!$G$133=7.6%,-(0.0165+0.076)*F195,0)</f>
        <v>0</v>
      </c>
      <c r="I195" s="35">
        <f t="shared" si="11"/>
        <v>0</v>
      </c>
      <c r="J195" s="530"/>
      <c r="K195" s="506"/>
      <c r="M195" s="513">
        <f t="shared" si="12"/>
        <v>0</v>
      </c>
      <c r="N195" s="3"/>
      <c r="O195" s="513">
        <f t="shared" si="13"/>
        <v>0</v>
      </c>
      <c r="Q195" s="500"/>
      <c r="S195" s="513">
        <f t="shared" si="14"/>
        <v>0</v>
      </c>
    </row>
    <row r="196" spans="2:19" s="453" customFormat="1" ht="12">
      <c r="B196" s="517">
        <v>184</v>
      </c>
      <c r="C196" s="528"/>
      <c r="D196" s="498"/>
      <c r="E196" s="498"/>
      <c r="F196" s="500"/>
      <c r="G196" s="35">
        <f t="shared" si="10"/>
        <v>0</v>
      </c>
      <c r="H196" s="511">
        <f>IF(Consolidado_A!$G$133=7.6%,-(0.0165+0.076)*F196,0)</f>
        <v>0</v>
      </c>
      <c r="I196" s="35">
        <f t="shared" si="11"/>
        <v>0</v>
      </c>
      <c r="J196" s="530"/>
      <c r="K196" s="506"/>
      <c r="M196" s="513">
        <f t="shared" si="12"/>
        <v>0</v>
      </c>
      <c r="N196" s="3"/>
      <c r="O196" s="513">
        <f t="shared" si="13"/>
        <v>0</v>
      </c>
      <c r="Q196" s="500"/>
      <c r="S196" s="513">
        <f t="shared" si="14"/>
        <v>0</v>
      </c>
    </row>
    <row r="197" spans="2:19" s="453" customFormat="1" ht="12">
      <c r="B197" s="517">
        <v>185</v>
      </c>
      <c r="C197" s="528"/>
      <c r="D197" s="498"/>
      <c r="E197" s="498"/>
      <c r="F197" s="500"/>
      <c r="G197" s="35">
        <f t="shared" si="10"/>
        <v>0</v>
      </c>
      <c r="H197" s="511">
        <f>IF(Consolidado_A!$G$133=7.6%,-(0.0165+0.076)*F197,0)</f>
        <v>0</v>
      </c>
      <c r="I197" s="35">
        <f t="shared" si="11"/>
        <v>0</v>
      </c>
      <c r="J197" s="530"/>
      <c r="K197" s="506"/>
      <c r="M197" s="513">
        <f t="shared" si="12"/>
        <v>0</v>
      </c>
      <c r="N197" s="3"/>
      <c r="O197" s="513">
        <f t="shared" si="13"/>
        <v>0</v>
      </c>
      <c r="Q197" s="500"/>
      <c r="S197" s="513">
        <f t="shared" si="14"/>
        <v>0</v>
      </c>
    </row>
    <row r="198" spans="2:19" s="453" customFormat="1" ht="12">
      <c r="B198" s="517">
        <v>186</v>
      </c>
      <c r="C198" s="528"/>
      <c r="D198" s="498"/>
      <c r="E198" s="498"/>
      <c r="F198" s="500"/>
      <c r="G198" s="35">
        <f t="shared" si="10"/>
        <v>0</v>
      </c>
      <c r="H198" s="511">
        <f>IF(Consolidado_A!$G$133=7.6%,-(0.0165+0.076)*F198,0)</f>
        <v>0</v>
      </c>
      <c r="I198" s="35">
        <f t="shared" si="11"/>
        <v>0</v>
      </c>
      <c r="J198" s="530"/>
      <c r="K198" s="506"/>
      <c r="M198" s="513">
        <f t="shared" si="12"/>
        <v>0</v>
      </c>
      <c r="N198" s="3"/>
      <c r="O198" s="513">
        <f t="shared" si="13"/>
        <v>0</v>
      </c>
      <c r="Q198" s="500"/>
      <c r="S198" s="513">
        <f t="shared" si="14"/>
        <v>0</v>
      </c>
    </row>
    <row r="199" spans="2:19" s="453" customFormat="1" ht="12">
      <c r="B199" s="517">
        <v>187</v>
      </c>
      <c r="C199" s="528"/>
      <c r="D199" s="498"/>
      <c r="E199" s="498"/>
      <c r="F199" s="500"/>
      <c r="G199" s="35">
        <f t="shared" si="10"/>
        <v>0</v>
      </c>
      <c r="H199" s="511">
        <f>IF(Consolidado_A!$G$133=7.6%,-(0.0165+0.076)*F199,0)</f>
        <v>0</v>
      </c>
      <c r="I199" s="35">
        <f t="shared" si="11"/>
        <v>0</v>
      </c>
      <c r="J199" s="530"/>
      <c r="K199" s="506"/>
      <c r="M199" s="513">
        <f t="shared" si="12"/>
        <v>0</v>
      </c>
      <c r="N199" s="3"/>
      <c r="O199" s="513">
        <f t="shared" si="13"/>
        <v>0</v>
      </c>
      <c r="Q199" s="500"/>
      <c r="S199" s="513">
        <f t="shared" si="14"/>
        <v>0</v>
      </c>
    </row>
    <row r="200" spans="2:19" s="453" customFormat="1" ht="12">
      <c r="B200" s="517">
        <v>188</v>
      </c>
      <c r="C200" s="528"/>
      <c r="D200" s="498"/>
      <c r="E200" s="498"/>
      <c r="F200" s="500"/>
      <c r="G200" s="35">
        <f t="shared" si="10"/>
        <v>0</v>
      </c>
      <c r="H200" s="511">
        <f>IF(Consolidado_A!$G$133=7.6%,-(0.0165+0.076)*F200,0)</f>
        <v>0</v>
      </c>
      <c r="I200" s="35">
        <f t="shared" si="11"/>
        <v>0</v>
      </c>
      <c r="J200" s="530"/>
      <c r="K200" s="506"/>
      <c r="M200" s="513">
        <f t="shared" si="12"/>
        <v>0</v>
      </c>
      <c r="N200" s="3"/>
      <c r="O200" s="513">
        <f t="shared" si="13"/>
        <v>0</v>
      </c>
      <c r="Q200" s="500"/>
      <c r="S200" s="513">
        <f t="shared" si="14"/>
        <v>0</v>
      </c>
    </row>
    <row r="201" spans="2:19" s="453" customFormat="1" ht="12">
      <c r="B201" s="517">
        <v>189</v>
      </c>
      <c r="C201" s="528"/>
      <c r="D201" s="498"/>
      <c r="E201" s="498"/>
      <c r="F201" s="500"/>
      <c r="G201" s="35">
        <f t="shared" si="10"/>
        <v>0</v>
      </c>
      <c r="H201" s="511">
        <f>IF(Consolidado_A!$G$133=7.6%,-(0.0165+0.076)*F201,0)</f>
        <v>0</v>
      </c>
      <c r="I201" s="35">
        <f t="shared" si="11"/>
        <v>0</v>
      </c>
      <c r="J201" s="530"/>
      <c r="K201" s="506"/>
      <c r="M201" s="513">
        <f t="shared" si="12"/>
        <v>0</v>
      </c>
      <c r="N201" s="3"/>
      <c r="O201" s="513">
        <f t="shared" si="13"/>
        <v>0</v>
      </c>
      <c r="Q201" s="500"/>
      <c r="S201" s="513">
        <f t="shared" si="14"/>
        <v>0</v>
      </c>
    </row>
    <row r="202" spans="2:19" s="453" customFormat="1" ht="12">
      <c r="B202" s="517">
        <v>190</v>
      </c>
      <c r="C202" s="528"/>
      <c r="D202" s="498"/>
      <c r="E202" s="498"/>
      <c r="F202" s="500"/>
      <c r="G202" s="35">
        <f t="shared" si="10"/>
        <v>0</v>
      </c>
      <c r="H202" s="511">
        <f>IF(Consolidado_A!$G$133=7.6%,-(0.0165+0.076)*F202,0)</f>
        <v>0</v>
      </c>
      <c r="I202" s="35">
        <f t="shared" si="11"/>
        <v>0</v>
      </c>
      <c r="J202" s="530"/>
      <c r="K202" s="506"/>
      <c r="M202" s="513">
        <f t="shared" si="12"/>
        <v>0</v>
      </c>
      <c r="N202" s="3"/>
      <c r="O202" s="513">
        <f t="shared" si="13"/>
        <v>0</v>
      </c>
      <c r="Q202" s="500"/>
      <c r="S202" s="513">
        <f t="shared" si="14"/>
        <v>0</v>
      </c>
    </row>
    <row r="203" spans="2:19" s="453" customFormat="1" ht="12">
      <c r="B203" s="517">
        <v>191</v>
      </c>
      <c r="C203" s="528"/>
      <c r="D203" s="498"/>
      <c r="E203" s="498"/>
      <c r="F203" s="500"/>
      <c r="G203" s="35">
        <f t="shared" si="10"/>
        <v>0</v>
      </c>
      <c r="H203" s="511">
        <f>IF(Consolidado_A!$G$133=7.6%,-(0.0165+0.076)*F203,0)</f>
        <v>0</v>
      </c>
      <c r="I203" s="35">
        <f t="shared" si="11"/>
        <v>0</v>
      </c>
      <c r="J203" s="530"/>
      <c r="K203" s="506"/>
      <c r="M203" s="513">
        <f t="shared" si="12"/>
        <v>0</v>
      </c>
      <c r="N203" s="3"/>
      <c r="O203" s="513">
        <f t="shared" si="13"/>
        <v>0</v>
      </c>
      <c r="Q203" s="500"/>
      <c r="S203" s="513">
        <f t="shared" si="14"/>
        <v>0</v>
      </c>
    </row>
    <row r="204" spans="2:19" s="453" customFormat="1" ht="12">
      <c r="B204" s="517">
        <v>192</v>
      </c>
      <c r="C204" s="528"/>
      <c r="D204" s="498"/>
      <c r="E204" s="498"/>
      <c r="F204" s="500"/>
      <c r="G204" s="35">
        <f t="shared" si="10"/>
        <v>0</v>
      </c>
      <c r="H204" s="511">
        <f>IF(Consolidado_A!$G$133=7.6%,-(0.0165+0.076)*F204,0)</f>
        <v>0</v>
      </c>
      <c r="I204" s="35">
        <f t="shared" si="11"/>
        <v>0</v>
      </c>
      <c r="J204" s="530"/>
      <c r="K204" s="506"/>
      <c r="M204" s="513">
        <f t="shared" si="12"/>
        <v>0</v>
      </c>
      <c r="N204" s="3"/>
      <c r="O204" s="513">
        <f t="shared" si="13"/>
        <v>0</v>
      </c>
      <c r="Q204" s="500"/>
      <c r="S204" s="513">
        <f t="shared" si="14"/>
        <v>0</v>
      </c>
    </row>
    <row r="205" spans="2:19" s="453" customFormat="1" ht="12">
      <c r="B205" s="517">
        <v>193</v>
      </c>
      <c r="C205" s="528"/>
      <c r="D205" s="498"/>
      <c r="E205" s="498"/>
      <c r="F205" s="500"/>
      <c r="G205" s="35">
        <f t="shared" ref="G205:G268" si="15">F205*E205</f>
        <v>0</v>
      </c>
      <c r="H205" s="511">
        <f>IF(Consolidado_A!$G$133=7.6%,-(0.0165+0.076)*F205,0)</f>
        <v>0</v>
      </c>
      <c r="I205" s="35">
        <f t="shared" ref="I205:I268" si="16">H205*E205</f>
        <v>0</v>
      </c>
      <c r="J205" s="530"/>
      <c r="K205" s="506"/>
      <c r="M205" s="513">
        <f t="shared" ref="M205:M268" si="17">IF(E205&gt;0,(F205+H205)-J205,0)</f>
        <v>0</v>
      </c>
      <c r="N205" s="3"/>
      <c r="O205" s="513">
        <f t="shared" ref="O205:O268" si="18">IF(E205=0,0,(M205/K205)*E205)</f>
        <v>0</v>
      </c>
      <c r="Q205" s="500"/>
      <c r="S205" s="513">
        <f t="shared" ref="S205:S268" si="19">Q205*E205</f>
        <v>0</v>
      </c>
    </row>
    <row r="206" spans="2:19" s="453" customFormat="1" ht="12">
      <c r="B206" s="517">
        <v>194</v>
      </c>
      <c r="C206" s="528"/>
      <c r="D206" s="498"/>
      <c r="E206" s="498"/>
      <c r="F206" s="500"/>
      <c r="G206" s="35">
        <f t="shared" si="15"/>
        <v>0</v>
      </c>
      <c r="H206" s="511">
        <f>IF(Consolidado_A!$G$133=7.6%,-(0.0165+0.076)*F206,0)</f>
        <v>0</v>
      </c>
      <c r="I206" s="35">
        <f t="shared" si="16"/>
        <v>0</v>
      </c>
      <c r="J206" s="530"/>
      <c r="K206" s="506"/>
      <c r="M206" s="513">
        <f t="shared" si="17"/>
        <v>0</v>
      </c>
      <c r="N206" s="3"/>
      <c r="O206" s="513">
        <f t="shared" si="18"/>
        <v>0</v>
      </c>
      <c r="Q206" s="500"/>
      <c r="S206" s="513">
        <f t="shared" si="19"/>
        <v>0</v>
      </c>
    </row>
    <row r="207" spans="2:19" s="453" customFormat="1" ht="12">
      <c r="B207" s="517">
        <v>195</v>
      </c>
      <c r="C207" s="528"/>
      <c r="D207" s="498"/>
      <c r="E207" s="498"/>
      <c r="F207" s="500"/>
      <c r="G207" s="35">
        <f t="shared" si="15"/>
        <v>0</v>
      </c>
      <c r="H207" s="511">
        <f>IF(Consolidado_A!$G$133=7.6%,-(0.0165+0.076)*F207,0)</f>
        <v>0</v>
      </c>
      <c r="I207" s="35">
        <f t="shared" si="16"/>
        <v>0</v>
      </c>
      <c r="J207" s="530"/>
      <c r="K207" s="506"/>
      <c r="M207" s="513">
        <f t="shared" si="17"/>
        <v>0</v>
      </c>
      <c r="N207" s="3"/>
      <c r="O207" s="513">
        <f t="shared" si="18"/>
        <v>0</v>
      </c>
      <c r="Q207" s="500"/>
      <c r="S207" s="513">
        <f t="shared" si="19"/>
        <v>0</v>
      </c>
    </row>
    <row r="208" spans="2:19" s="453" customFormat="1" ht="12">
      <c r="B208" s="517">
        <v>196</v>
      </c>
      <c r="C208" s="528"/>
      <c r="D208" s="498"/>
      <c r="E208" s="498"/>
      <c r="F208" s="500"/>
      <c r="G208" s="35">
        <f t="shared" si="15"/>
        <v>0</v>
      </c>
      <c r="H208" s="511">
        <f>IF(Consolidado_A!$G$133=7.6%,-(0.0165+0.076)*F208,0)</f>
        <v>0</v>
      </c>
      <c r="I208" s="35">
        <f t="shared" si="16"/>
        <v>0</v>
      </c>
      <c r="J208" s="530"/>
      <c r="K208" s="506"/>
      <c r="M208" s="513">
        <f t="shared" si="17"/>
        <v>0</v>
      </c>
      <c r="N208" s="3"/>
      <c r="O208" s="513">
        <f t="shared" si="18"/>
        <v>0</v>
      </c>
      <c r="Q208" s="500"/>
      <c r="S208" s="513">
        <f t="shared" si="19"/>
        <v>0</v>
      </c>
    </row>
    <row r="209" spans="2:19" s="453" customFormat="1" ht="12">
      <c r="B209" s="517">
        <v>197</v>
      </c>
      <c r="C209" s="528"/>
      <c r="D209" s="498"/>
      <c r="E209" s="498"/>
      <c r="F209" s="500"/>
      <c r="G209" s="35">
        <f t="shared" si="15"/>
        <v>0</v>
      </c>
      <c r="H209" s="511">
        <f>IF(Consolidado_A!$G$133=7.6%,-(0.0165+0.076)*F209,0)</f>
        <v>0</v>
      </c>
      <c r="I209" s="35">
        <f t="shared" si="16"/>
        <v>0</v>
      </c>
      <c r="J209" s="530"/>
      <c r="K209" s="506"/>
      <c r="M209" s="513">
        <f t="shared" si="17"/>
        <v>0</v>
      </c>
      <c r="N209" s="3"/>
      <c r="O209" s="513">
        <f t="shared" si="18"/>
        <v>0</v>
      </c>
      <c r="Q209" s="500"/>
      <c r="S209" s="513">
        <f t="shared" si="19"/>
        <v>0</v>
      </c>
    </row>
    <row r="210" spans="2:19" s="453" customFormat="1" ht="12">
      <c r="B210" s="517">
        <v>198</v>
      </c>
      <c r="C210" s="528"/>
      <c r="D210" s="498"/>
      <c r="E210" s="498"/>
      <c r="F210" s="500"/>
      <c r="G210" s="35">
        <f t="shared" si="15"/>
        <v>0</v>
      </c>
      <c r="H210" s="511">
        <f>IF(Consolidado_A!$G$133=7.6%,-(0.0165+0.076)*F210,0)</f>
        <v>0</v>
      </c>
      <c r="I210" s="35">
        <f t="shared" si="16"/>
        <v>0</v>
      </c>
      <c r="J210" s="530"/>
      <c r="K210" s="506"/>
      <c r="M210" s="513">
        <f t="shared" si="17"/>
        <v>0</v>
      </c>
      <c r="N210" s="3"/>
      <c r="O210" s="513">
        <f t="shared" si="18"/>
        <v>0</v>
      </c>
      <c r="Q210" s="500"/>
      <c r="S210" s="513">
        <f t="shared" si="19"/>
        <v>0</v>
      </c>
    </row>
    <row r="211" spans="2:19" s="453" customFormat="1" ht="12">
      <c r="B211" s="517">
        <v>199</v>
      </c>
      <c r="C211" s="528"/>
      <c r="D211" s="498"/>
      <c r="E211" s="498"/>
      <c r="F211" s="500"/>
      <c r="G211" s="35">
        <f t="shared" si="15"/>
        <v>0</v>
      </c>
      <c r="H211" s="511">
        <f>IF(Consolidado_A!$G$133=7.6%,-(0.0165+0.076)*F211,0)</f>
        <v>0</v>
      </c>
      <c r="I211" s="35">
        <f t="shared" si="16"/>
        <v>0</v>
      </c>
      <c r="J211" s="530"/>
      <c r="K211" s="506"/>
      <c r="M211" s="513">
        <f t="shared" si="17"/>
        <v>0</v>
      </c>
      <c r="N211" s="3"/>
      <c r="O211" s="513">
        <f t="shared" si="18"/>
        <v>0</v>
      </c>
      <c r="Q211" s="500"/>
      <c r="S211" s="513">
        <f t="shared" si="19"/>
        <v>0</v>
      </c>
    </row>
    <row r="212" spans="2:19" s="453" customFormat="1" ht="12">
      <c r="B212" s="517">
        <v>200</v>
      </c>
      <c r="C212" s="528"/>
      <c r="D212" s="498"/>
      <c r="E212" s="498"/>
      <c r="F212" s="500"/>
      <c r="G212" s="35">
        <f t="shared" si="15"/>
        <v>0</v>
      </c>
      <c r="H212" s="511">
        <f>IF(Consolidado_A!$G$133=7.6%,-(0.0165+0.076)*F212,0)</f>
        <v>0</v>
      </c>
      <c r="I212" s="35">
        <f t="shared" si="16"/>
        <v>0</v>
      </c>
      <c r="J212" s="530"/>
      <c r="K212" s="506"/>
      <c r="M212" s="513">
        <f t="shared" si="17"/>
        <v>0</v>
      </c>
      <c r="N212" s="3"/>
      <c r="O212" s="513">
        <f t="shared" si="18"/>
        <v>0</v>
      </c>
      <c r="Q212" s="500"/>
      <c r="S212" s="513">
        <f t="shared" si="19"/>
        <v>0</v>
      </c>
    </row>
    <row r="213" spans="2:19" s="453" customFormat="1" ht="12">
      <c r="B213" s="517">
        <v>201</v>
      </c>
      <c r="C213" s="528"/>
      <c r="D213" s="498"/>
      <c r="E213" s="498"/>
      <c r="F213" s="500"/>
      <c r="G213" s="35">
        <f t="shared" si="15"/>
        <v>0</v>
      </c>
      <c r="H213" s="511">
        <f>IF(Consolidado_A!$G$133=7.6%,-(0.0165+0.076)*F213,0)</f>
        <v>0</v>
      </c>
      <c r="I213" s="35">
        <f t="shared" si="16"/>
        <v>0</v>
      </c>
      <c r="J213" s="530"/>
      <c r="K213" s="506"/>
      <c r="M213" s="513">
        <f t="shared" si="17"/>
        <v>0</v>
      </c>
      <c r="N213" s="3"/>
      <c r="O213" s="513">
        <f t="shared" si="18"/>
        <v>0</v>
      </c>
      <c r="Q213" s="500"/>
      <c r="S213" s="513">
        <f t="shared" si="19"/>
        <v>0</v>
      </c>
    </row>
    <row r="214" spans="2:19" s="453" customFormat="1" ht="12">
      <c r="B214" s="517">
        <v>202</v>
      </c>
      <c r="C214" s="528"/>
      <c r="D214" s="498"/>
      <c r="E214" s="498"/>
      <c r="F214" s="500"/>
      <c r="G214" s="35">
        <f t="shared" si="15"/>
        <v>0</v>
      </c>
      <c r="H214" s="511">
        <f>IF(Consolidado_A!$G$133=7.6%,-(0.0165+0.076)*F214,0)</f>
        <v>0</v>
      </c>
      <c r="I214" s="35">
        <f t="shared" si="16"/>
        <v>0</v>
      </c>
      <c r="J214" s="530"/>
      <c r="K214" s="506"/>
      <c r="M214" s="513">
        <f t="shared" si="17"/>
        <v>0</v>
      </c>
      <c r="N214" s="3"/>
      <c r="O214" s="513">
        <f t="shared" si="18"/>
        <v>0</v>
      </c>
      <c r="Q214" s="500"/>
      <c r="S214" s="513">
        <f t="shared" si="19"/>
        <v>0</v>
      </c>
    </row>
    <row r="215" spans="2:19" s="453" customFormat="1" ht="12">
      <c r="B215" s="517">
        <v>203</v>
      </c>
      <c r="C215" s="528"/>
      <c r="D215" s="498"/>
      <c r="E215" s="498"/>
      <c r="F215" s="500"/>
      <c r="G215" s="35">
        <f t="shared" si="15"/>
        <v>0</v>
      </c>
      <c r="H215" s="511">
        <f>IF(Consolidado_A!$G$133=7.6%,-(0.0165+0.076)*F215,0)</f>
        <v>0</v>
      </c>
      <c r="I215" s="35">
        <f t="shared" si="16"/>
        <v>0</v>
      </c>
      <c r="J215" s="530"/>
      <c r="K215" s="506"/>
      <c r="M215" s="513">
        <f t="shared" si="17"/>
        <v>0</v>
      </c>
      <c r="N215" s="3"/>
      <c r="O215" s="513">
        <f t="shared" si="18"/>
        <v>0</v>
      </c>
      <c r="Q215" s="500"/>
      <c r="S215" s="513">
        <f t="shared" si="19"/>
        <v>0</v>
      </c>
    </row>
    <row r="216" spans="2:19" s="453" customFormat="1" ht="12">
      <c r="B216" s="517">
        <v>204</v>
      </c>
      <c r="C216" s="528"/>
      <c r="D216" s="498"/>
      <c r="E216" s="498"/>
      <c r="F216" s="500"/>
      <c r="G216" s="35">
        <f t="shared" si="15"/>
        <v>0</v>
      </c>
      <c r="H216" s="511">
        <f>IF(Consolidado_A!$G$133=7.6%,-(0.0165+0.076)*F216,0)</f>
        <v>0</v>
      </c>
      <c r="I216" s="35">
        <f t="shared" si="16"/>
        <v>0</v>
      </c>
      <c r="J216" s="530"/>
      <c r="K216" s="506"/>
      <c r="M216" s="513">
        <f t="shared" si="17"/>
        <v>0</v>
      </c>
      <c r="N216" s="3"/>
      <c r="O216" s="513">
        <f t="shared" si="18"/>
        <v>0</v>
      </c>
      <c r="Q216" s="500"/>
      <c r="S216" s="513">
        <f t="shared" si="19"/>
        <v>0</v>
      </c>
    </row>
    <row r="217" spans="2:19" s="453" customFormat="1" ht="12">
      <c r="B217" s="517">
        <v>205</v>
      </c>
      <c r="C217" s="528"/>
      <c r="D217" s="498"/>
      <c r="E217" s="498"/>
      <c r="F217" s="500"/>
      <c r="G217" s="35">
        <f t="shared" si="15"/>
        <v>0</v>
      </c>
      <c r="H217" s="511">
        <f>IF(Consolidado_A!$G$133=7.6%,-(0.0165+0.076)*F217,0)</f>
        <v>0</v>
      </c>
      <c r="I217" s="35">
        <f t="shared" si="16"/>
        <v>0</v>
      </c>
      <c r="J217" s="530"/>
      <c r="K217" s="506"/>
      <c r="M217" s="513">
        <f t="shared" si="17"/>
        <v>0</v>
      </c>
      <c r="N217" s="3"/>
      <c r="O217" s="513">
        <f t="shared" si="18"/>
        <v>0</v>
      </c>
      <c r="Q217" s="500"/>
      <c r="S217" s="513">
        <f t="shared" si="19"/>
        <v>0</v>
      </c>
    </row>
    <row r="218" spans="2:19" s="453" customFormat="1" ht="12">
      <c r="B218" s="517">
        <v>206</v>
      </c>
      <c r="C218" s="528"/>
      <c r="D218" s="498"/>
      <c r="E218" s="498"/>
      <c r="F218" s="500"/>
      <c r="G218" s="35">
        <f t="shared" si="15"/>
        <v>0</v>
      </c>
      <c r="H218" s="511">
        <f>IF(Consolidado_A!$G$133=7.6%,-(0.0165+0.076)*F218,0)</f>
        <v>0</v>
      </c>
      <c r="I218" s="35">
        <f t="shared" si="16"/>
        <v>0</v>
      </c>
      <c r="J218" s="530"/>
      <c r="K218" s="506"/>
      <c r="M218" s="513">
        <f t="shared" si="17"/>
        <v>0</v>
      </c>
      <c r="N218" s="3"/>
      <c r="O218" s="513">
        <f t="shared" si="18"/>
        <v>0</v>
      </c>
      <c r="Q218" s="500"/>
      <c r="S218" s="513">
        <f t="shared" si="19"/>
        <v>0</v>
      </c>
    </row>
    <row r="219" spans="2:19" s="453" customFormat="1" ht="12">
      <c r="B219" s="517">
        <v>207</v>
      </c>
      <c r="C219" s="528"/>
      <c r="D219" s="498"/>
      <c r="E219" s="498"/>
      <c r="F219" s="500"/>
      <c r="G219" s="35">
        <f t="shared" si="15"/>
        <v>0</v>
      </c>
      <c r="H219" s="511">
        <f>IF(Consolidado_A!$G$133=7.6%,-(0.0165+0.076)*F219,0)</f>
        <v>0</v>
      </c>
      <c r="I219" s="35">
        <f t="shared" si="16"/>
        <v>0</v>
      </c>
      <c r="J219" s="530"/>
      <c r="K219" s="506"/>
      <c r="M219" s="513">
        <f t="shared" si="17"/>
        <v>0</v>
      </c>
      <c r="N219" s="3"/>
      <c r="O219" s="513">
        <f t="shared" si="18"/>
        <v>0</v>
      </c>
      <c r="Q219" s="500"/>
      <c r="S219" s="513">
        <f t="shared" si="19"/>
        <v>0</v>
      </c>
    </row>
    <row r="220" spans="2:19" s="453" customFormat="1" ht="12">
      <c r="B220" s="517">
        <v>208</v>
      </c>
      <c r="C220" s="528"/>
      <c r="D220" s="498"/>
      <c r="E220" s="498"/>
      <c r="F220" s="500"/>
      <c r="G220" s="35">
        <f t="shared" si="15"/>
        <v>0</v>
      </c>
      <c r="H220" s="511">
        <f>IF(Consolidado_A!$G$133=7.6%,-(0.0165+0.076)*F220,0)</f>
        <v>0</v>
      </c>
      <c r="I220" s="35">
        <f t="shared" si="16"/>
        <v>0</v>
      </c>
      <c r="J220" s="530"/>
      <c r="K220" s="506"/>
      <c r="M220" s="513">
        <f t="shared" si="17"/>
        <v>0</v>
      </c>
      <c r="N220" s="3"/>
      <c r="O220" s="513">
        <f t="shared" si="18"/>
        <v>0</v>
      </c>
      <c r="Q220" s="500"/>
      <c r="S220" s="513">
        <f t="shared" si="19"/>
        <v>0</v>
      </c>
    </row>
    <row r="221" spans="2:19" s="453" customFormat="1" ht="12">
      <c r="B221" s="517">
        <v>209</v>
      </c>
      <c r="C221" s="528"/>
      <c r="D221" s="498"/>
      <c r="E221" s="498"/>
      <c r="F221" s="500"/>
      <c r="G221" s="35">
        <f t="shared" si="15"/>
        <v>0</v>
      </c>
      <c r="H221" s="511">
        <f>IF(Consolidado_A!$G$133=7.6%,-(0.0165+0.076)*F221,0)</f>
        <v>0</v>
      </c>
      <c r="I221" s="35">
        <f t="shared" si="16"/>
        <v>0</v>
      </c>
      <c r="J221" s="530"/>
      <c r="K221" s="506"/>
      <c r="M221" s="513">
        <f t="shared" si="17"/>
        <v>0</v>
      </c>
      <c r="N221" s="3"/>
      <c r="O221" s="513">
        <f t="shared" si="18"/>
        <v>0</v>
      </c>
      <c r="Q221" s="500"/>
      <c r="S221" s="513">
        <f t="shared" si="19"/>
        <v>0</v>
      </c>
    </row>
    <row r="222" spans="2:19" s="453" customFormat="1" ht="12">
      <c r="B222" s="517">
        <v>210</v>
      </c>
      <c r="C222" s="528"/>
      <c r="D222" s="498"/>
      <c r="E222" s="498"/>
      <c r="F222" s="500"/>
      <c r="G222" s="35">
        <f t="shared" si="15"/>
        <v>0</v>
      </c>
      <c r="H222" s="511">
        <f>IF(Consolidado_A!$G$133=7.6%,-(0.0165+0.076)*F222,0)</f>
        <v>0</v>
      </c>
      <c r="I222" s="35">
        <f t="shared" si="16"/>
        <v>0</v>
      </c>
      <c r="J222" s="530"/>
      <c r="K222" s="506"/>
      <c r="M222" s="513">
        <f t="shared" si="17"/>
        <v>0</v>
      </c>
      <c r="N222" s="3"/>
      <c r="O222" s="513">
        <f t="shared" si="18"/>
        <v>0</v>
      </c>
      <c r="Q222" s="500"/>
      <c r="S222" s="513">
        <f t="shared" si="19"/>
        <v>0</v>
      </c>
    </row>
    <row r="223" spans="2:19" s="453" customFormat="1" ht="12">
      <c r="B223" s="517">
        <v>211</v>
      </c>
      <c r="C223" s="528"/>
      <c r="D223" s="498"/>
      <c r="E223" s="498"/>
      <c r="F223" s="500"/>
      <c r="G223" s="35">
        <f t="shared" si="15"/>
        <v>0</v>
      </c>
      <c r="H223" s="511">
        <f>IF(Consolidado_A!$G$133=7.6%,-(0.0165+0.076)*F223,0)</f>
        <v>0</v>
      </c>
      <c r="I223" s="35">
        <f t="shared" si="16"/>
        <v>0</v>
      </c>
      <c r="J223" s="530"/>
      <c r="K223" s="506"/>
      <c r="M223" s="513">
        <f t="shared" si="17"/>
        <v>0</v>
      </c>
      <c r="N223" s="3"/>
      <c r="O223" s="513">
        <f t="shared" si="18"/>
        <v>0</v>
      </c>
      <c r="Q223" s="500"/>
      <c r="S223" s="513">
        <f t="shared" si="19"/>
        <v>0</v>
      </c>
    </row>
    <row r="224" spans="2:19" s="453" customFormat="1" ht="12">
      <c r="B224" s="517">
        <v>212</v>
      </c>
      <c r="C224" s="528"/>
      <c r="D224" s="498"/>
      <c r="E224" s="498"/>
      <c r="F224" s="500"/>
      <c r="G224" s="35">
        <f t="shared" si="15"/>
        <v>0</v>
      </c>
      <c r="H224" s="511">
        <f>IF(Consolidado_A!$G$133=7.6%,-(0.0165+0.076)*F224,0)</f>
        <v>0</v>
      </c>
      <c r="I224" s="35">
        <f t="shared" si="16"/>
        <v>0</v>
      </c>
      <c r="J224" s="530"/>
      <c r="K224" s="506"/>
      <c r="M224" s="513">
        <f t="shared" si="17"/>
        <v>0</v>
      </c>
      <c r="N224" s="3"/>
      <c r="O224" s="513">
        <f t="shared" si="18"/>
        <v>0</v>
      </c>
      <c r="Q224" s="500"/>
      <c r="S224" s="513">
        <f t="shared" si="19"/>
        <v>0</v>
      </c>
    </row>
    <row r="225" spans="2:19" s="453" customFormat="1" ht="12">
      <c r="B225" s="517">
        <v>213</v>
      </c>
      <c r="C225" s="528"/>
      <c r="D225" s="498"/>
      <c r="E225" s="498"/>
      <c r="F225" s="500"/>
      <c r="G225" s="35">
        <f t="shared" si="15"/>
        <v>0</v>
      </c>
      <c r="H225" s="511">
        <f>IF(Consolidado_A!$G$133=7.6%,-(0.0165+0.076)*F225,0)</f>
        <v>0</v>
      </c>
      <c r="I225" s="35">
        <f t="shared" si="16"/>
        <v>0</v>
      </c>
      <c r="J225" s="530"/>
      <c r="K225" s="506"/>
      <c r="M225" s="513">
        <f t="shared" si="17"/>
        <v>0</v>
      </c>
      <c r="N225" s="3"/>
      <c r="O225" s="513">
        <f t="shared" si="18"/>
        <v>0</v>
      </c>
      <c r="Q225" s="500"/>
      <c r="S225" s="513">
        <f t="shared" si="19"/>
        <v>0</v>
      </c>
    </row>
    <row r="226" spans="2:19" s="453" customFormat="1" ht="12">
      <c r="B226" s="517">
        <v>214</v>
      </c>
      <c r="C226" s="528"/>
      <c r="D226" s="498"/>
      <c r="E226" s="498"/>
      <c r="F226" s="500"/>
      <c r="G226" s="35">
        <f t="shared" si="15"/>
        <v>0</v>
      </c>
      <c r="H226" s="511">
        <f>IF(Consolidado_A!$G$133=7.6%,-(0.0165+0.076)*F226,0)</f>
        <v>0</v>
      </c>
      <c r="I226" s="35">
        <f t="shared" si="16"/>
        <v>0</v>
      </c>
      <c r="J226" s="530"/>
      <c r="K226" s="506"/>
      <c r="M226" s="513">
        <f t="shared" si="17"/>
        <v>0</v>
      </c>
      <c r="N226" s="3"/>
      <c r="O226" s="513">
        <f t="shared" si="18"/>
        <v>0</v>
      </c>
      <c r="Q226" s="500"/>
      <c r="S226" s="513">
        <f t="shared" si="19"/>
        <v>0</v>
      </c>
    </row>
    <row r="227" spans="2:19" s="453" customFormat="1" ht="12">
      <c r="B227" s="517">
        <v>215</v>
      </c>
      <c r="C227" s="528"/>
      <c r="D227" s="498"/>
      <c r="E227" s="498"/>
      <c r="F227" s="500"/>
      <c r="G227" s="35">
        <f t="shared" si="15"/>
        <v>0</v>
      </c>
      <c r="H227" s="511">
        <f>IF(Consolidado_A!$G$133=7.6%,-(0.0165+0.076)*F227,0)</f>
        <v>0</v>
      </c>
      <c r="I227" s="35">
        <f t="shared" si="16"/>
        <v>0</v>
      </c>
      <c r="J227" s="530"/>
      <c r="K227" s="506"/>
      <c r="M227" s="513">
        <f t="shared" si="17"/>
        <v>0</v>
      </c>
      <c r="N227" s="3"/>
      <c r="O227" s="513">
        <f t="shared" si="18"/>
        <v>0</v>
      </c>
      <c r="Q227" s="500"/>
      <c r="S227" s="513">
        <f t="shared" si="19"/>
        <v>0</v>
      </c>
    </row>
    <row r="228" spans="2:19" s="453" customFormat="1" ht="12">
      <c r="B228" s="517">
        <v>216</v>
      </c>
      <c r="C228" s="528"/>
      <c r="D228" s="498"/>
      <c r="E228" s="498"/>
      <c r="F228" s="500"/>
      <c r="G228" s="35">
        <f t="shared" si="15"/>
        <v>0</v>
      </c>
      <c r="H228" s="511">
        <f>IF(Consolidado_A!$G$133=7.6%,-(0.0165+0.076)*F228,0)</f>
        <v>0</v>
      </c>
      <c r="I228" s="35">
        <f t="shared" si="16"/>
        <v>0</v>
      </c>
      <c r="J228" s="530"/>
      <c r="K228" s="506"/>
      <c r="M228" s="513">
        <f t="shared" si="17"/>
        <v>0</v>
      </c>
      <c r="N228" s="3"/>
      <c r="O228" s="513">
        <f t="shared" si="18"/>
        <v>0</v>
      </c>
      <c r="Q228" s="500"/>
      <c r="S228" s="513">
        <f t="shared" si="19"/>
        <v>0</v>
      </c>
    </row>
    <row r="229" spans="2:19" s="453" customFormat="1" ht="12">
      <c r="B229" s="517">
        <v>217</v>
      </c>
      <c r="C229" s="528"/>
      <c r="D229" s="498"/>
      <c r="E229" s="498"/>
      <c r="F229" s="500"/>
      <c r="G229" s="35">
        <f t="shared" si="15"/>
        <v>0</v>
      </c>
      <c r="H229" s="511">
        <f>IF(Consolidado_A!$G$133=7.6%,-(0.0165+0.076)*F229,0)</f>
        <v>0</v>
      </c>
      <c r="I229" s="35">
        <f t="shared" si="16"/>
        <v>0</v>
      </c>
      <c r="J229" s="530"/>
      <c r="K229" s="506"/>
      <c r="M229" s="513">
        <f t="shared" si="17"/>
        <v>0</v>
      </c>
      <c r="N229" s="3"/>
      <c r="O229" s="513">
        <f t="shared" si="18"/>
        <v>0</v>
      </c>
      <c r="Q229" s="500"/>
      <c r="S229" s="513">
        <f t="shared" si="19"/>
        <v>0</v>
      </c>
    </row>
    <row r="230" spans="2:19" s="453" customFormat="1" ht="12">
      <c r="B230" s="517">
        <v>218</v>
      </c>
      <c r="C230" s="528"/>
      <c r="D230" s="498"/>
      <c r="E230" s="498"/>
      <c r="F230" s="500"/>
      <c r="G230" s="35">
        <f t="shared" si="15"/>
        <v>0</v>
      </c>
      <c r="H230" s="511">
        <f>IF(Consolidado_A!$G$133=7.6%,-(0.0165+0.076)*F230,0)</f>
        <v>0</v>
      </c>
      <c r="I230" s="35">
        <f t="shared" si="16"/>
        <v>0</v>
      </c>
      <c r="J230" s="530"/>
      <c r="K230" s="506"/>
      <c r="M230" s="513">
        <f t="shared" si="17"/>
        <v>0</v>
      </c>
      <c r="N230" s="3"/>
      <c r="O230" s="513">
        <f t="shared" si="18"/>
        <v>0</v>
      </c>
      <c r="Q230" s="500"/>
      <c r="S230" s="513">
        <f t="shared" si="19"/>
        <v>0</v>
      </c>
    </row>
    <row r="231" spans="2:19" s="453" customFormat="1" ht="12">
      <c r="B231" s="517">
        <v>219</v>
      </c>
      <c r="C231" s="528"/>
      <c r="D231" s="498"/>
      <c r="E231" s="498"/>
      <c r="F231" s="500"/>
      <c r="G231" s="35">
        <f t="shared" si="15"/>
        <v>0</v>
      </c>
      <c r="H231" s="511">
        <f>IF(Consolidado_A!$G$133=7.6%,-(0.0165+0.076)*F231,0)</f>
        <v>0</v>
      </c>
      <c r="I231" s="35">
        <f t="shared" si="16"/>
        <v>0</v>
      </c>
      <c r="J231" s="530"/>
      <c r="K231" s="506"/>
      <c r="M231" s="513">
        <f t="shared" si="17"/>
        <v>0</v>
      </c>
      <c r="N231" s="3"/>
      <c r="O231" s="513">
        <f t="shared" si="18"/>
        <v>0</v>
      </c>
      <c r="Q231" s="500"/>
      <c r="S231" s="513">
        <f t="shared" si="19"/>
        <v>0</v>
      </c>
    </row>
    <row r="232" spans="2:19" s="453" customFormat="1" ht="12">
      <c r="B232" s="517">
        <v>220</v>
      </c>
      <c r="C232" s="528"/>
      <c r="D232" s="498"/>
      <c r="E232" s="498"/>
      <c r="F232" s="500"/>
      <c r="G232" s="35">
        <f t="shared" si="15"/>
        <v>0</v>
      </c>
      <c r="H232" s="511">
        <f>IF(Consolidado_A!$G$133=7.6%,-(0.0165+0.076)*F232,0)</f>
        <v>0</v>
      </c>
      <c r="I232" s="35">
        <f t="shared" si="16"/>
        <v>0</v>
      </c>
      <c r="J232" s="530"/>
      <c r="K232" s="506"/>
      <c r="M232" s="513">
        <f t="shared" si="17"/>
        <v>0</v>
      </c>
      <c r="N232" s="3"/>
      <c r="O232" s="513">
        <f t="shared" si="18"/>
        <v>0</v>
      </c>
      <c r="Q232" s="500"/>
      <c r="S232" s="513">
        <f t="shared" si="19"/>
        <v>0</v>
      </c>
    </row>
    <row r="233" spans="2:19" s="453" customFormat="1" ht="12">
      <c r="B233" s="517">
        <v>221</v>
      </c>
      <c r="C233" s="528"/>
      <c r="D233" s="498"/>
      <c r="E233" s="498"/>
      <c r="F233" s="500"/>
      <c r="G233" s="35">
        <f t="shared" si="15"/>
        <v>0</v>
      </c>
      <c r="H233" s="511">
        <f>IF(Consolidado_A!$G$133=7.6%,-(0.0165+0.076)*F233,0)</f>
        <v>0</v>
      </c>
      <c r="I233" s="35">
        <f t="shared" si="16"/>
        <v>0</v>
      </c>
      <c r="J233" s="530"/>
      <c r="K233" s="506"/>
      <c r="M233" s="513">
        <f t="shared" si="17"/>
        <v>0</v>
      </c>
      <c r="N233" s="3"/>
      <c r="O233" s="513">
        <f t="shared" si="18"/>
        <v>0</v>
      </c>
      <c r="Q233" s="500"/>
      <c r="S233" s="513">
        <f t="shared" si="19"/>
        <v>0</v>
      </c>
    </row>
    <row r="234" spans="2:19" s="453" customFormat="1" ht="12">
      <c r="B234" s="517">
        <v>222</v>
      </c>
      <c r="C234" s="528"/>
      <c r="D234" s="498"/>
      <c r="E234" s="498"/>
      <c r="F234" s="500"/>
      <c r="G234" s="35">
        <f t="shared" si="15"/>
        <v>0</v>
      </c>
      <c r="H234" s="511">
        <f>IF(Consolidado_A!$G$133=7.6%,-(0.0165+0.076)*F234,0)</f>
        <v>0</v>
      </c>
      <c r="I234" s="35">
        <f t="shared" si="16"/>
        <v>0</v>
      </c>
      <c r="J234" s="530"/>
      <c r="K234" s="506"/>
      <c r="M234" s="513">
        <f t="shared" si="17"/>
        <v>0</v>
      </c>
      <c r="N234" s="3"/>
      <c r="O234" s="513">
        <f t="shared" si="18"/>
        <v>0</v>
      </c>
      <c r="Q234" s="500"/>
      <c r="S234" s="513">
        <f t="shared" si="19"/>
        <v>0</v>
      </c>
    </row>
    <row r="235" spans="2:19" s="453" customFormat="1" ht="12">
      <c r="B235" s="517">
        <v>223</v>
      </c>
      <c r="C235" s="528"/>
      <c r="D235" s="498"/>
      <c r="E235" s="498"/>
      <c r="F235" s="500"/>
      <c r="G235" s="35">
        <f t="shared" si="15"/>
        <v>0</v>
      </c>
      <c r="H235" s="511">
        <f>IF(Consolidado_A!$G$133=7.6%,-(0.0165+0.076)*F235,0)</f>
        <v>0</v>
      </c>
      <c r="I235" s="35">
        <f t="shared" si="16"/>
        <v>0</v>
      </c>
      <c r="J235" s="530"/>
      <c r="K235" s="506"/>
      <c r="M235" s="513">
        <f t="shared" si="17"/>
        <v>0</v>
      </c>
      <c r="N235" s="3"/>
      <c r="O235" s="513">
        <f t="shared" si="18"/>
        <v>0</v>
      </c>
      <c r="Q235" s="500"/>
      <c r="S235" s="513">
        <f t="shared" si="19"/>
        <v>0</v>
      </c>
    </row>
    <row r="236" spans="2:19" s="453" customFormat="1" ht="12">
      <c r="B236" s="517">
        <v>224</v>
      </c>
      <c r="C236" s="528"/>
      <c r="D236" s="498"/>
      <c r="E236" s="498"/>
      <c r="F236" s="500"/>
      <c r="G236" s="35">
        <f t="shared" si="15"/>
        <v>0</v>
      </c>
      <c r="H236" s="511">
        <f>IF(Consolidado_A!$G$133=7.6%,-(0.0165+0.076)*F236,0)</f>
        <v>0</v>
      </c>
      <c r="I236" s="35">
        <f t="shared" si="16"/>
        <v>0</v>
      </c>
      <c r="J236" s="530"/>
      <c r="K236" s="506"/>
      <c r="M236" s="513">
        <f t="shared" si="17"/>
        <v>0</v>
      </c>
      <c r="N236" s="3"/>
      <c r="O236" s="513">
        <f t="shared" si="18"/>
        <v>0</v>
      </c>
      <c r="Q236" s="500"/>
      <c r="S236" s="513">
        <f t="shared" si="19"/>
        <v>0</v>
      </c>
    </row>
    <row r="237" spans="2:19" s="453" customFormat="1" ht="12">
      <c r="B237" s="517">
        <v>225</v>
      </c>
      <c r="C237" s="528"/>
      <c r="D237" s="498"/>
      <c r="E237" s="498"/>
      <c r="F237" s="500"/>
      <c r="G237" s="35">
        <f t="shared" si="15"/>
        <v>0</v>
      </c>
      <c r="H237" s="511">
        <f>IF(Consolidado_A!$G$133=7.6%,-(0.0165+0.076)*F237,0)</f>
        <v>0</v>
      </c>
      <c r="I237" s="35">
        <f t="shared" si="16"/>
        <v>0</v>
      </c>
      <c r="J237" s="530"/>
      <c r="K237" s="506"/>
      <c r="M237" s="513">
        <f t="shared" si="17"/>
        <v>0</v>
      </c>
      <c r="N237" s="3"/>
      <c r="O237" s="513">
        <f t="shared" si="18"/>
        <v>0</v>
      </c>
      <c r="Q237" s="500"/>
      <c r="S237" s="513">
        <f t="shared" si="19"/>
        <v>0</v>
      </c>
    </row>
    <row r="238" spans="2:19" s="453" customFormat="1" ht="12">
      <c r="B238" s="517">
        <v>226</v>
      </c>
      <c r="C238" s="528"/>
      <c r="D238" s="498"/>
      <c r="E238" s="498"/>
      <c r="F238" s="500"/>
      <c r="G238" s="35">
        <f t="shared" si="15"/>
        <v>0</v>
      </c>
      <c r="H238" s="511">
        <f>IF(Consolidado_A!$G$133=7.6%,-(0.0165+0.076)*F238,0)</f>
        <v>0</v>
      </c>
      <c r="I238" s="35">
        <f t="shared" si="16"/>
        <v>0</v>
      </c>
      <c r="J238" s="530"/>
      <c r="K238" s="506"/>
      <c r="M238" s="513">
        <f t="shared" si="17"/>
        <v>0</v>
      </c>
      <c r="N238" s="3"/>
      <c r="O238" s="513">
        <f t="shared" si="18"/>
        <v>0</v>
      </c>
      <c r="Q238" s="500"/>
      <c r="S238" s="513">
        <f t="shared" si="19"/>
        <v>0</v>
      </c>
    </row>
    <row r="239" spans="2:19" s="453" customFormat="1" ht="12">
      <c r="B239" s="517">
        <v>227</v>
      </c>
      <c r="C239" s="528"/>
      <c r="D239" s="498"/>
      <c r="E239" s="498"/>
      <c r="F239" s="500"/>
      <c r="G239" s="35">
        <f t="shared" si="15"/>
        <v>0</v>
      </c>
      <c r="H239" s="511">
        <f>IF(Consolidado_A!$G$133=7.6%,-(0.0165+0.076)*F239,0)</f>
        <v>0</v>
      </c>
      <c r="I239" s="35">
        <f t="shared" si="16"/>
        <v>0</v>
      </c>
      <c r="J239" s="530"/>
      <c r="K239" s="506"/>
      <c r="M239" s="513">
        <f t="shared" si="17"/>
        <v>0</v>
      </c>
      <c r="N239" s="3"/>
      <c r="O239" s="513">
        <f t="shared" si="18"/>
        <v>0</v>
      </c>
      <c r="Q239" s="500"/>
      <c r="S239" s="513">
        <f t="shared" si="19"/>
        <v>0</v>
      </c>
    </row>
    <row r="240" spans="2:19" s="453" customFormat="1" ht="12">
      <c r="B240" s="517">
        <v>228</v>
      </c>
      <c r="C240" s="528"/>
      <c r="D240" s="498"/>
      <c r="E240" s="498"/>
      <c r="F240" s="500"/>
      <c r="G240" s="35">
        <f t="shared" si="15"/>
        <v>0</v>
      </c>
      <c r="H240" s="511">
        <f>IF(Consolidado_A!$G$133=7.6%,-(0.0165+0.076)*F240,0)</f>
        <v>0</v>
      </c>
      <c r="I240" s="35">
        <f t="shared" si="16"/>
        <v>0</v>
      </c>
      <c r="J240" s="530"/>
      <c r="K240" s="506"/>
      <c r="M240" s="513">
        <f t="shared" si="17"/>
        <v>0</v>
      </c>
      <c r="N240" s="3"/>
      <c r="O240" s="513">
        <f t="shared" si="18"/>
        <v>0</v>
      </c>
      <c r="Q240" s="500"/>
      <c r="S240" s="513">
        <f t="shared" si="19"/>
        <v>0</v>
      </c>
    </row>
    <row r="241" spans="2:19" s="453" customFormat="1" ht="12">
      <c r="B241" s="517">
        <v>229</v>
      </c>
      <c r="C241" s="528"/>
      <c r="D241" s="498"/>
      <c r="E241" s="498"/>
      <c r="F241" s="500"/>
      <c r="G241" s="35">
        <f t="shared" si="15"/>
        <v>0</v>
      </c>
      <c r="H241" s="511">
        <f>IF(Consolidado_A!$G$133=7.6%,-(0.0165+0.076)*F241,0)</f>
        <v>0</v>
      </c>
      <c r="I241" s="35">
        <f t="shared" si="16"/>
        <v>0</v>
      </c>
      <c r="J241" s="530"/>
      <c r="K241" s="506"/>
      <c r="M241" s="513">
        <f t="shared" si="17"/>
        <v>0</v>
      </c>
      <c r="N241" s="3"/>
      <c r="O241" s="513">
        <f t="shared" si="18"/>
        <v>0</v>
      </c>
      <c r="Q241" s="500"/>
      <c r="S241" s="513">
        <f t="shared" si="19"/>
        <v>0</v>
      </c>
    </row>
    <row r="242" spans="2:19" s="453" customFormat="1" ht="12">
      <c r="B242" s="517">
        <v>230</v>
      </c>
      <c r="C242" s="528"/>
      <c r="D242" s="498"/>
      <c r="E242" s="498"/>
      <c r="F242" s="500"/>
      <c r="G242" s="35">
        <f t="shared" si="15"/>
        <v>0</v>
      </c>
      <c r="H242" s="511">
        <f>IF(Consolidado_A!$G$133=7.6%,-(0.0165+0.076)*F242,0)</f>
        <v>0</v>
      </c>
      <c r="I242" s="35">
        <f t="shared" si="16"/>
        <v>0</v>
      </c>
      <c r="J242" s="530"/>
      <c r="K242" s="506"/>
      <c r="M242" s="513">
        <f t="shared" si="17"/>
        <v>0</v>
      </c>
      <c r="N242" s="3"/>
      <c r="O242" s="513">
        <f t="shared" si="18"/>
        <v>0</v>
      </c>
      <c r="Q242" s="500"/>
      <c r="S242" s="513">
        <f t="shared" si="19"/>
        <v>0</v>
      </c>
    </row>
    <row r="243" spans="2:19" s="453" customFormat="1" ht="12">
      <c r="B243" s="517">
        <v>231</v>
      </c>
      <c r="C243" s="528"/>
      <c r="D243" s="498"/>
      <c r="E243" s="498"/>
      <c r="F243" s="500"/>
      <c r="G243" s="35">
        <f t="shared" si="15"/>
        <v>0</v>
      </c>
      <c r="H243" s="511">
        <f>IF(Consolidado_A!$G$133=7.6%,-(0.0165+0.076)*F243,0)</f>
        <v>0</v>
      </c>
      <c r="I243" s="35">
        <f t="shared" si="16"/>
        <v>0</v>
      </c>
      <c r="J243" s="530"/>
      <c r="K243" s="506"/>
      <c r="M243" s="513">
        <f t="shared" si="17"/>
        <v>0</v>
      </c>
      <c r="N243" s="3"/>
      <c r="O243" s="513">
        <f t="shared" si="18"/>
        <v>0</v>
      </c>
      <c r="Q243" s="500"/>
      <c r="S243" s="513">
        <f t="shared" si="19"/>
        <v>0</v>
      </c>
    </row>
    <row r="244" spans="2:19" s="453" customFormat="1" ht="12">
      <c r="B244" s="517">
        <v>232</v>
      </c>
      <c r="C244" s="528"/>
      <c r="D244" s="498"/>
      <c r="E244" s="498"/>
      <c r="F244" s="500"/>
      <c r="G244" s="35">
        <f t="shared" si="15"/>
        <v>0</v>
      </c>
      <c r="H244" s="511">
        <f>IF(Consolidado_A!$G$133=7.6%,-(0.0165+0.076)*F244,0)</f>
        <v>0</v>
      </c>
      <c r="I244" s="35">
        <f t="shared" si="16"/>
        <v>0</v>
      </c>
      <c r="J244" s="530"/>
      <c r="K244" s="506"/>
      <c r="M244" s="513">
        <f t="shared" si="17"/>
        <v>0</v>
      </c>
      <c r="N244" s="3"/>
      <c r="O244" s="513">
        <f t="shared" si="18"/>
        <v>0</v>
      </c>
      <c r="Q244" s="500"/>
      <c r="S244" s="513">
        <f t="shared" si="19"/>
        <v>0</v>
      </c>
    </row>
    <row r="245" spans="2:19" s="453" customFormat="1" ht="12">
      <c r="B245" s="517">
        <v>233</v>
      </c>
      <c r="C245" s="528"/>
      <c r="D245" s="498"/>
      <c r="E245" s="498"/>
      <c r="F245" s="500"/>
      <c r="G245" s="35">
        <f t="shared" si="15"/>
        <v>0</v>
      </c>
      <c r="H245" s="511">
        <f>IF(Consolidado_A!$G$133=7.6%,-(0.0165+0.076)*F245,0)</f>
        <v>0</v>
      </c>
      <c r="I245" s="35">
        <f t="shared" si="16"/>
        <v>0</v>
      </c>
      <c r="J245" s="530"/>
      <c r="K245" s="506"/>
      <c r="M245" s="513">
        <f t="shared" si="17"/>
        <v>0</v>
      </c>
      <c r="N245" s="3"/>
      <c r="O245" s="513">
        <f t="shared" si="18"/>
        <v>0</v>
      </c>
      <c r="Q245" s="500"/>
      <c r="S245" s="513">
        <f t="shared" si="19"/>
        <v>0</v>
      </c>
    </row>
    <row r="246" spans="2:19" s="453" customFormat="1" ht="12">
      <c r="B246" s="517">
        <v>234</v>
      </c>
      <c r="C246" s="528"/>
      <c r="D246" s="498"/>
      <c r="E246" s="498"/>
      <c r="F246" s="500"/>
      <c r="G246" s="35">
        <f t="shared" si="15"/>
        <v>0</v>
      </c>
      <c r="H246" s="511">
        <f>IF(Consolidado_A!$G$133=7.6%,-(0.0165+0.076)*F246,0)</f>
        <v>0</v>
      </c>
      <c r="I246" s="35">
        <f t="shared" si="16"/>
        <v>0</v>
      </c>
      <c r="J246" s="530"/>
      <c r="K246" s="506"/>
      <c r="M246" s="513">
        <f t="shared" si="17"/>
        <v>0</v>
      </c>
      <c r="N246" s="3"/>
      <c r="O246" s="513">
        <f t="shared" si="18"/>
        <v>0</v>
      </c>
      <c r="Q246" s="500"/>
      <c r="S246" s="513">
        <f t="shared" si="19"/>
        <v>0</v>
      </c>
    </row>
    <row r="247" spans="2:19" s="453" customFormat="1" ht="12">
      <c r="B247" s="517">
        <v>235</v>
      </c>
      <c r="C247" s="528"/>
      <c r="D247" s="498"/>
      <c r="E247" s="498"/>
      <c r="F247" s="500"/>
      <c r="G247" s="35">
        <f t="shared" si="15"/>
        <v>0</v>
      </c>
      <c r="H247" s="511">
        <f>IF(Consolidado_A!$G$133=7.6%,-(0.0165+0.076)*F247,0)</f>
        <v>0</v>
      </c>
      <c r="I247" s="35">
        <f t="shared" si="16"/>
        <v>0</v>
      </c>
      <c r="J247" s="530"/>
      <c r="K247" s="506"/>
      <c r="M247" s="513">
        <f t="shared" si="17"/>
        <v>0</v>
      </c>
      <c r="N247" s="3"/>
      <c r="O247" s="513">
        <f t="shared" si="18"/>
        <v>0</v>
      </c>
      <c r="Q247" s="500"/>
      <c r="S247" s="513">
        <f t="shared" si="19"/>
        <v>0</v>
      </c>
    </row>
    <row r="248" spans="2:19" s="453" customFormat="1" ht="12">
      <c r="B248" s="517">
        <v>236</v>
      </c>
      <c r="C248" s="528"/>
      <c r="D248" s="498"/>
      <c r="E248" s="498"/>
      <c r="F248" s="500"/>
      <c r="G248" s="35">
        <f t="shared" si="15"/>
        <v>0</v>
      </c>
      <c r="H248" s="511">
        <f>IF(Consolidado_A!$G$133=7.6%,-(0.0165+0.076)*F248,0)</f>
        <v>0</v>
      </c>
      <c r="I248" s="35">
        <f t="shared" si="16"/>
        <v>0</v>
      </c>
      <c r="J248" s="530"/>
      <c r="K248" s="506"/>
      <c r="M248" s="513">
        <f t="shared" si="17"/>
        <v>0</v>
      </c>
      <c r="N248" s="3"/>
      <c r="O248" s="513">
        <f t="shared" si="18"/>
        <v>0</v>
      </c>
      <c r="Q248" s="500"/>
      <c r="S248" s="513">
        <f t="shared" si="19"/>
        <v>0</v>
      </c>
    </row>
    <row r="249" spans="2:19" s="453" customFormat="1" ht="12">
      <c r="B249" s="517">
        <v>237</v>
      </c>
      <c r="C249" s="528"/>
      <c r="D249" s="498"/>
      <c r="E249" s="498"/>
      <c r="F249" s="500"/>
      <c r="G249" s="35">
        <f t="shared" si="15"/>
        <v>0</v>
      </c>
      <c r="H249" s="511">
        <f>IF(Consolidado_A!$G$133=7.6%,-(0.0165+0.076)*F249,0)</f>
        <v>0</v>
      </c>
      <c r="I249" s="35">
        <f t="shared" si="16"/>
        <v>0</v>
      </c>
      <c r="J249" s="530"/>
      <c r="K249" s="506"/>
      <c r="M249" s="513">
        <f t="shared" si="17"/>
        <v>0</v>
      </c>
      <c r="N249" s="3"/>
      <c r="O249" s="513">
        <f t="shared" si="18"/>
        <v>0</v>
      </c>
      <c r="Q249" s="500"/>
      <c r="S249" s="513">
        <f t="shared" si="19"/>
        <v>0</v>
      </c>
    </row>
    <row r="250" spans="2:19" s="453" customFormat="1" ht="12">
      <c r="B250" s="517">
        <v>238</v>
      </c>
      <c r="C250" s="528"/>
      <c r="D250" s="498"/>
      <c r="E250" s="498"/>
      <c r="F250" s="500"/>
      <c r="G250" s="35">
        <f t="shared" si="15"/>
        <v>0</v>
      </c>
      <c r="H250" s="511">
        <f>IF(Consolidado_A!$G$133=7.6%,-(0.0165+0.076)*F250,0)</f>
        <v>0</v>
      </c>
      <c r="I250" s="35">
        <f t="shared" si="16"/>
        <v>0</v>
      </c>
      <c r="J250" s="530"/>
      <c r="K250" s="506"/>
      <c r="M250" s="513">
        <f t="shared" si="17"/>
        <v>0</v>
      </c>
      <c r="N250" s="3"/>
      <c r="O250" s="513">
        <f t="shared" si="18"/>
        <v>0</v>
      </c>
      <c r="Q250" s="500"/>
      <c r="S250" s="513">
        <f t="shared" si="19"/>
        <v>0</v>
      </c>
    </row>
    <row r="251" spans="2:19" s="453" customFormat="1" ht="12">
      <c r="B251" s="517">
        <v>239</v>
      </c>
      <c r="C251" s="528"/>
      <c r="D251" s="498"/>
      <c r="E251" s="498"/>
      <c r="F251" s="500"/>
      <c r="G251" s="35">
        <f t="shared" si="15"/>
        <v>0</v>
      </c>
      <c r="H251" s="511">
        <f>IF(Consolidado_A!$G$133=7.6%,-(0.0165+0.076)*F251,0)</f>
        <v>0</v>
      </c>
      <c r="I251" s="35">
        <f t="shared" si="16"/>
        <v>0</v>
      </c>
      <c r="J251" s="530"/>
      <c r="K251" s="506"/>
      <c r="M251" s="513">
        <f t="shared" si="17"/>
        <v>0</v>
      </c>
      <c r="N251" s="3"/>
      <c r="O251" s="513">
        <f t="shared" si="18"/>
        <v>0</v>
      </c>
      <c r="Q251" s="500"/>
      <c r="S251" s="513">
        <f t="shared" si="19"/>
        <v>0</v>
      </c>
    </row>
    <row r="252" spans="2:19" s="453" customFormat="1" ht="12">
      <c r="B252" s="517">
        <v>240</v>
      </c>
      <c r="C252" s="528"/>
      <c r="D252" s="498"/>
      <c r="E252" s="498"/>
      <c r="F252" s="500"/>
      <c r="G252" s="35">
        <f t="shared" si="15"/>
        <v>0</v>
      </c>
      <c r="H252" s="511">
        <f>IF(Consolidado_A!$G$133=7.6%,-(0.0165+0.076)*F252,0)</f>
        <v>0</v>
      </c>
      <c r="I252" s="35">
        <f t="shared" si="16"/>
        <v>0</v>
      </c>
      <c r="J252" s="530"/>
      <c r="K252" s="506"/>
      <c r="M252" s="513">
        <f t="shared" si="17"/>
        <v>0</v>
      </c>
      <c r="N252" s="3"/>
      <c r="O252" s="513">
        <f t="shared" si="18"/>
        <v>0</v>
      </c>
      <c r="Q252" s="500"/>
      <c r="S252" s="513">
        <f t="shared" si="19"/>
        <v>0</v>
      </c>
    </row>
    <row r="253" spans="2:19" s="453" customFormat="1" ht="12">
      <c r="B253" s="517">
        <v>241</v>
      </c>
      <c r="C253" s="528"/>
      <c r="D253" s="498"/>
      <c r="E253" s="498"/>
      <c r="F253" s="500"/>
      <c r="G253" s="35">
        <f t="shared" si="15"/>
        <v>0</v>
      </c>
      <c r="H253" s="511">
        <f>IF(Consolidado_A!$G$133=7.6%,-(0.0165+0.076)*F253,0)</f>
        <v>0</v>
      </c>
      <c r="I253" s="35">
        <f t="shared" si="16"/>
        <v>0</v>
      </c>
      <c r="J253" s="530"/>
      <c r="K253" s="506"/>
      <c r="M253" s="513">
        <f t="shared" si="17"/>
        <v>0</v>
      </c>
      <c r="N253" s="3"/>
      <c r="O253" s="513">
        <f t="shared" si="18"/>
        <v>0</v>
      </c>
      <c r="Q253" s="500"/>
      <c r="S253" s="513">
        <f t="shared" si="19"/>
        <v>0</v>
      </c>
    </row>
    <row r="254" spans="2:19" s="453" customFormat="1" ht="12">
      <c r="B254" s="517">
        <v>242</v>
      </c>
      <c r="C254" s="528"/>
      <c r="D254" s="498"/>
      <c r="E254" s="498"/>
      <c r="F254" s="500"/>
      <c r="G254" s="35">
        <f t="shared" si="15"/>
        <v>0</v>
      </c>
      <c r="H254" s="511">
        <f>IF(Consolidado_A!$G$133=7.6%,-(0.0165+0.076)*F254,0)</f>
        <v>0</v>
      </c>
      <c r="I254" s="35">
        <f t="shared" si="16"/>
        <v>0</v>
      </c>
      <c r="J254" s="530"/>
      <c r="K254" s="506"/>
      <c r="M254" s="513">
        <f t="shared" si="17"/>
        <v>0</v>
      </c>
      <c r="N254" s="3"/>
      <c r="O254" s="513">
        <f t="shared" si="18"/>
        <v>0</v>
      </c>
      <c r="Q254" s="500"/>
      <c r="S254" s="513">
        <f t="shared" si="19"/>
        <v>0</v>
      </c>
    </row>
    <row r="255" spans="2:19" s="453" customFormat="1" ht="12">
      <c r="B255" s="517">
        <v>243</v>
      </c>
      <c r="C255" s="528"/>
      <c r="D255" s="498"/>
      <c r="E255" s="498"/>
      <c r="F255" s="500"/>
      <c r="G255" s="35">
        <f t="shared" si="15"/>
        <v>0</v>
      </c>
      <c r="H255" s="511">
        <f>IF(Consolidado_A!$G$133=7.6%,-(0.0165+0.076)*F255,0)</f>
        <v>0</v>
      </c>
      <c r="I255" s="35">
        <f t="shared" si="16"/>
        <v>0</v>
      </c>
      <c r="J255" s="530"/>
      <c r="K255" s="506"/>
      <c r="M255" s="513">
        <f t="shared" si="17"/>
        <v>0</v>
      </c>
      <c r="N255" s="3"/>
      <c r="O255" s="513">
        <f t="shared" si="18"/>
        <v>0</v>
      </c>
      <c r="Q255" s="500"/>
      <c r="S255" s="513">
        <f t="shared" si="19"/>
        <v>0</v>
      </c>
    </row>
    <row r="256" spans="2:19" s="453" customFormat="1" ht="12">
      <c r="B256" s="517">
        <v>244</v>
      </c>
      <c r="C256" s="528"/>
      <c r="D256" s="498"/>
      <c r="E256" s="498"/>
      <c r="F256" s="500"/>
      <c r="G256" s="35">
        <f t="shared" si="15"/>
        <v>0</v>
      </c>
      <c r="H256" s="511">
        <f>IF(Consolidado_A!$G$133=7.6%,-(0.0165+0.076)*F256,0)</f>
        <v>0</v>
      </c>
      <c r="I256" s="35">
        <f t="shared" si="16"/>
        <v>0</v>
      </c>
      <c r="J256" s="530"/>
      <c r="K256" s="506"/>
      <c r="M256" s="513">
        <f t="shared" si="17"/>
        <v>0</v>
      </c>
      <c r="N256" s="3"/>
      <c r="O256" s="513">
        <f t="shared" si="18"/>
        <v>0</v>
      </c>
      <c r="Q256" s="500"/>
      <c r="S256" s="513">
        <f t="shared" si="19"/>
        <v>0</v>
      </c>
    </row>
    <row r="257" spans="2:19" s="453" customFormat="1" ht="12">
      <c r="B257" s="517">
        <v>245</v>
      </c>
      <c r="C257" s="528"/>
      <c r="D257" s="498"/>
      <c r="E257" s="498"/>
      <c r="F257" s="500"/>
      <c r="G257" s="35">
        <f t="shared" si="15"/>
        <v>0</v>
      </c>
      <c r="H257" s="511">
        <f>IF(Consolidado_A!$G$133=7.6%,-(0.0165+0.076)*F257,0)</f>
        <v>0</v>
      </c>
      <c r="I257" s="35">
        <f t="shared" si="16"/>
        <v>0</v>
      </c>
      <c r="J257" s="530"/>
      <c r="K257" s="506"/>
      <c r="M257" s="513">
        <f t="shared" si="17"/>
        <v>0</v>
      </c>
      <c r="N257" s="3"/>
      <c r="O257" s="513">
        <f t="shared" si="18"/>
        <v>0</v>
      </c>
      <c r="Q257" s="500"/>
      <c r="S257" s="513">
        <f t="shared" si="19"/>
        <v>0</v>
      </c>
    </row>
    <row r="258" spans="2:19" s="453" customFormat="1" ht="12">
      <c r="B258" s="517">
        <v>246</v>
      </c>
      <c r="C258" s="528"/>
      <c r="D258" s="498"/>
      <c r="E258" s="498"/>
      <c r="F258" s="500"/>
      <c r="G258" s="35">
        <f t="shared" si="15"/>
        <v>0</v>
      </c>
      <c r="H258" s="511">
        <f>IF(Consolidado_A!$G$133=7.6%,-(0.0165+0.076)*F258,0)</f>
        <v>0</v>
      </c>
      <c r="I258" s="35">
        <f t="shared" si="16"/>
        <v>0</v>
      </c>
      <c r="J258" s="530"/>
      <c r="K258" s="506"/>
      <c r="M258" s="513">
        <f t="shared" si="17"/>
        <v>0</v>
      </c>
      <c r="N258" s="3"/>
      <c r="O258" s="513">
        <f t="shared" si="18"/>
        <v>0</v>
      </c>
      <c r="Q258" s="500"/>
      <c r="S258" s="513">
        <f t="shared" si="19"/>
        <v>0</v>
      </c>
    </row>
    <row r="259" spans="2:19" s="453" customFormat="1" ht="12">
      <c r="B259" s="517">
        <v>247</v>
      </c>
      <c r="C259" s="528"/>
      <c r="D259" s="498"/>
      <c r="E259" s="498"/>
      <c r="F259" s="500"/>
      <c r="G259" s="35">
        <f t="shared" si="15"/>
        <v>0</v>
      </c>
      <c r="H259" s="511">
        <f>IF(Consolidado_A!$G$133=7.6%,-(0.0165+0.076)*F259,0)</f>
        <v>0</v>
      </c>
      <c r="I259" s="35">
        <f t="shared" si="16"/>
        <v>0</v>
      </c>
      <c r="J259" s="530"/>
      <c r="K259" s="506"/>
      <c r="M259" s="513">
        <f t="shared" si="17"/>
        <v>0</v>
      </c>
      <c r="N259" s="3"/>
      <c r="O259" s="513">
        <f t="shared" si="18"/>
        <v>0</v>
      </c>
      <c r="Q259" s="500"/>
      <c r="S259" s="513">
        <f t="shared" si="19"/>
        <v>0</v>
      </c>
    </row>
    <row r="260" spans="2:19" s="453" customFormat="1" ht="12">
      <c r="B260" s="517">
        <v>248</v>
      </c>
      <c r="C260" s="528"/>
      <c r="D260" s="498"/>
      <c r="E260" s="498"/>
      <c r="F260" s="500"/>
      <c r="G260" s="35">
        <f t="shared" si="15"/>
        <v>0</v>
      </c>
      <c r="H260" s="511">
        <f>IF(Consolidado_A!$G$133=7.6%,-(0.0165+0.076)*F260,0)</f>
        <v>0</v>
      </c>
      <c r="I260" s="35">
        <f t="shared" si="16"/>
        <v>0</v>
      </c>
      <c r="J260" s="530"/>
      <c r="K260" s="506"/>
      <c r="M260" s="513">
        <f t="shared" si="17"/>
        <v>0</v>
      </c>
      <c r="N260" s="3"/>
      <c r="O260" s="513">
        <f t="shared" si="18"/>
        <v>0</v>
      </c>
      <c r="Q260" s="500"/>
      <c r="S260" s="513">
        <f t="shared" si="19"/>
        <v>0</v>
      </c>
    </row>
    <row r="261" spans="2:19" s="453" customFormat="1" ht="12">
      <c r="B261" s="517">
        <v>249</v>
      </c>
      <c r="C261" s="528"/>
      <c r="D261" s="498"/>
      <c r="E261" s="498"/>
      <c r="F261" s="500"/>
      <c r="G261" s="35">
        <f t="shared" si="15"/>
        <v>0</v>
      </c>
      <c r="H261" s="511">
        <f>IF(Consolidado_A!$G$133=7.6%,-(0.0165+0.076)*F261,0)</f>
        <v>0</v>
      </c>
      <c r="I261" s="35">
        <f t="shared" si="16"/>
        <v>0</v>
      </c>
      <c r="J261" s="530"/>
      <c r="K261" s="506"/>
      <c r="M261" s="513">
        <f t="shared" si="17"/>
        <v>0</v>
      </c>
      <c r="N261" s="3"/>
      <c r="O261" s="513">
        <f t="shared" si="18"/>
        <v>0</v>
      </c>
      <c r="Q261" s="500"/>
      <c r="S261" s="513">
        <f t="shared" si="19"/>
        <v>0</v>
      </c>
    </row>
    <row r="262" spans="2:19" s="453" customFormat="1" ht="12">
      <c r="B262" s="517">
        <v>250</v>
      </c>
      <c r="C262" s="528"/>
      <c r="D262" s="498"/>
      <c r="E262" s="498"/>
      <c r="F262" s="500"/>
      <c r="G262" s="35">
        <f t="shared" si="15"/>
        <v>0</v>
      </c>
      <c r="H262" s="511">
        <f>IF(Consolidado_A!$G$133=7.6%,-(0.0165+0.076)*F262,0)</f>
        <v>0</v>
      </c>
      <c r="I262" s="35">
        <f t="shared" si="16"/>
        <v>0</v>
      </c>
      <c r="J262" s="530"/>
      <c r="K262" s="506"/>
      <c r="M262" s="513">
        <f t="shared" si="17"/>
        <v>0</v>
      </c>
      <c r="N262" s="3"/>
      <c r="O262" s="513">
        <f t="shared" si="18"/>
        <v>0</v>
      </c>
      <c r="Q262" s="500"/>
      <c r="S262" s="513">
        <f t="shared" si="19"/>
        <v>0</v>
      </c>
    </row>
    <row r="263" spans="2:19" s="453" customFormat="1" ht="12">
      <c r="B263" s="517">
        <v>251</v>
      </c>
      <c r="C263" s="528"/>
      <c r="D263" s="498"/>
      <c r="E263" s="498"/>
      <c r="F263" s="500"/>
      <c r="G263" s="35">
        <f t="shared" si="15"/>
        <v>0</v>
      </c>
      <c r="H263" s="511">
        <f>IF(Consolidado_A!$G$133=7.6%,-(0.0165+0.076)*F263,0)</f>
        <v>0</v>
      </c>
      <c r="I263" s="35">
        <f t="shared" si="16"/>
        <v>0</v>
      </c>
      <c r="J263" s="530"/>
      <c r="K263" s="506"/>
      <c r="M263" s="513">
        <f t="shared" si="17"/>
        <v>0</v>
      </c>
      <c r="N263" s="3"/>
      <c r="O263" s="513">
        <f t="shared" si="18"/>
        <v>0</v>
      </c>
      <c r="Q263" s="500"/>
      <c r="S263" s="513">
        <f t="shared" si="19"/>
        <v>0</v>
      </c>
    </row>
    <row r="264" spans="2:19" s="453" customFormat="1" ht="12">
      <c r="B264" s="517">
        <v>252</v>
      </c>
      <c r="C264" s="528"/>
      <c r="D264" s="498"/>
      <c r="E264" s="498"/>
      <c r="F264" s="500"/>
      <c r="G264" s="35">
        <f t="shared" si="15"/>
        <v>0</v>
      </c>
      <c r="H264" s="511">
        <f>IF(Consolidado_A!$G$133=7.6%,-(0.0165+0.076)*F264,0)</f>
        <v>0</v>
      </c>
      <c r="I264" s="35">
        <f t="shared" si="16"/>
        <v>0</v>
      </c>
      <c r="J264" s="530"/>
      <c r="K264" s="506"/>
      <c r="M264" s="513">
        <f t="shared" si="17"/>
        <v>0</v>
      </c>
      <c r="N264" s="3"/>
      <c r="O264" s="513">
        <f t="shared" si="18"/>
        <v>0</v>
      </c>
      <c r="Q264" s="500"/>
      <c r="S264" s="513">
        <f t="shared" si="19"/>
        <v>0</v>
      </c>
    </row>
    <row r="265" spans="2:19" s="453" customFormat="1" ht="12">
      <c r="B265" s="517">
        <v>253</v>
      </c>
      <c r="C265" s="528"/>
      <c r="D265" s="498"/>
      <c r="E265" s="498"/>
      <c r="F265" s="500"/>
      <c r="G265" s="35">
        <f t="shared" si="15"/>
        <v>0</v>
      </c>
      <c r="H265" s="511">
        <f>IF(Consolidado_A!$G$133=7.6%,-(0.0165+0.076)*F265,0)</f>
        <v>0</v>
      </c>
      <c r="I265" s="35">
        <f t="shared" si="16"/>
        <v>0</v>
      </c>
      <c r="J265" s="530"/>
      <c r="K265" s="506"/>
      <c r="M265" s="513">
        <f t="shared" si="17"/>
        <v>0</v>
      </c>
      <c r="N265" s="3"/>
      <c r="O265" s="513">
        <f t="shared" si="18"/>
        <v>0</v>
      </c>
      <c r="Q265" s="500"/>
      <c r="S265" s="513">
        <f t="shared" si="19"/>
        <v>0</v>
      </c>
    </row>
    <row r="266" spans="2:19" s="453" customFormat="1" ht="12">
      <c r="B266" s="517">
        <v>254</v>
      </c>
      <c r="C266" s="528"/>
      <c r="D266" s="498"/>
      <c r="E266" s="498"/>
      <c r="F266" s="500"/>
      <c r="G266" s="35">
        <f t="shared" si="15"/>
        <v>0</v>
      </c>
      <c r="H266" s="511">
        <f>IF(Consolidado_A!$G$133=7.6%,-(0.0165+0.076)*F266,0)</f>
        <v>0</v>
      </c>
      <c r="I266" s="35">
        <f t="shared" si="16"/>
        <v>0</v>
      </c>
      <c r="J266" s="530"/>
      <c r="K266" s="506"/>
      <c r="M266" s="513">
        <f t="shared" si="17"/>
        <v>0</v>
      </c>
      <c r="N266" s="3"/>
      <c r="O266" s="513">
        <f t="shared" si="18"/>
        <v>0</v>
      </c>
      <c r="Q266" s="500"/>
      <c r="S266" s="513">
        <f t="shared" si="19"/>
        <v>0</v>
      </c>
    </row>
    <row r="267" spans="2:19" s="453" customFormat="1" ht="12">
      <c r="B267" s="517">
        <v>255</v>
      </c>
      <c r="C267" s="528"/>
      <c r="D267" s="498"/>
      <c r="E267" s="498"/>
      <c r="F267" s="500"/>
      <c r="G267" s="35">
        <f t="shared" si="15"/>
        <v>0</v>
      </c>
      <c r="H267" s="511">
        <f>IF(Consolidado_A!$G$133=7.6%,-(0.0165+0.076)*F267,0)</f>
        <v>0</v>
      </c>
      <c r="I267" s="35">
        <f t="shared" si="16"/>
        <v>0</v>
      </c>
      <c r="J267" s="530"/>
      <c r="K267" s="506"/>
      <c r="M267" s="513">
        <f t="shared" si="17"/>
        <v>0</v>
      </c>
      <c r="N267" s="3"/>
      <c r="O267" s="513">
        <f t="shared" si="18"/>
        <v>0</v>
      </c>
      <c r="Q267" s="500"/>
      <c r="S267" s="513">
        <f t="shared" si="19"/>
        <v>0</v>
      </c>
    </row>
    <row r="268" spans="2:19" s="453" customFormat="1" ht="12">
      <c r="B268" s="517">
        <v>256</v>
      </c>
      <c r="C268" s="528"/>
      <c r="D268" s="498"/>
      <c r="E268" s="498"/>
      <c r="F268" s="500"/>
      <c r="G268" s="35">
        <f t="shared" si="15"/>
        <v>0</v>
      </c>
      <c r="H268" s="511">
        <f>IF(Consolidado_A!$G$133=7.6%,-(0.0165+0.076)*F268,0)</f>
        <v>0</v>
      </c>
      <c r="I268" s="35">
        <f t="shared" si="16"/>
        <v>0</v>
      </c>
      <c r="J268" s="530"/>
      <c r="K268" s="506"/>
      <c r="M268" s="513">
        <f t="shared" si="17"/>
        <v>0</v>
      </c>
      <c r="N268" s="3"/>
      <c r="O268" s="513">
        <f t="shared" si="18"/>
        <v>0</v>
      </c>
      <c r="Q268" s="500"/>
      <c r="S268" s="513">
        <f t="shared" si="19"/>
        <v>0</v>
      </c>
    </row>
    <row r="269" spans="2:19" s="453" customFormat="1" ht="12">
      <c r="B269" s="517">
        <v>257</v>
      </c>
      <c r="C269" s="528"/>
      <c r="D269" s="498"/>
      <c r="E269" s="498"/>
      <c r="F269" s="500"/>
      <c r="G269" s="35">
        <f t="shared" ref="G269:G332" si="20">F269*E269</f>
        <v>0</v>
      </c>
      <c r="H269" s="511">
        <f>IF(Consolidado_A!$G$133=7.6%,-(0.0165+0.076)*F269,0)</f>
        <v>0</v>
      </c>
      <c r="I269" s="35">
        <f t="shared" ref="I269:I332" si="21">H269*E269</f>
        <v>0</v>
      </c>
      <c r="J269" s="530"/>
      <c r="K269" s="506"/>
      <c r="M269" s="513">
        <f t="shared" ref="M269:M337" si="22">IF(E269&gt;0,(F269+H269)-J269,0)</f>
        <v>0</v>
      </c>
      <c r="N269" s="3"/>
      <c r="O269" s="513">
        <f t="shared" ref="O269:O337" si="23">IF(E269=0,0,(M269/K269)*E269)</f>
        <v>0</v>
      </c>
      <c r="Q269" s="500"/>
      <c r="S269" s="513">
        <f t="shared" ref="S269:S337" si="24">Q269*E269</f>
        <v>0</v>
      </c>
    </row>
    <row r="270" spans="2:19" s="453" customFormat="1" ht="12">
      <c r="B270" s="517">
        <v>258</v>
      </c>
      <c r="C270" s="528"/>
      <c r="D270" s="498"/>
      <c r="E270" s="498"/>
      <c r="F270" s="500"/>
      <c r="G270" s="35">
        <f t="shared" si="20"/>
        <v>0</v>
      </c>
      <c r="H270" s="511">
        <f>IF(Consolidado_A!$G$133=7.6%,-(0.0165+0.076)*F270,0)</f>
        <v>0</v>
      </c>
      <c r="I270" s="35">
        <f t="shared" si="21"/>
        <v>0</v>
      </c>
      <c r="J270" s="530"/>
      <c r="K270" s="506"/>
      <c r="M270" s="513">
        <f t="shared" si="22"/>
        <v>0</v>
      </c>
      <c r="N270" s="3"/>
      <c r="O270" s="513">
        <f t="shared" si="23"/>
        <v>0</v>
      </c>
      <c r="Q270" s="500"/>
      <c r="S270" s="513">
        <f t="shared" si="24"/>
        <v>0</v>
      </c>
    </row>
    <row r="271" spans="2:19" s="453" customFormat="1" ht="12">
      <c r="B271" s="517">
        <v>259</v>
      </c>
      <c r="C271" s="528"/>
      <c r="D271" s="498"/>
      <c r="E271" s="498"/>
      <c r="F271" s="500"/>
      <c r="G271" s="35">
        <f t="shared" si="20"/>
        <v>0</v>
      </c>
      <c r="H271" s="511">
        <f>IF(Consolidado_A!$G$133=7.6%,-(0.0165+0.076)*F271,0)</f>
        <v>0</v>
      </c>
      <c r="I271" s="35">
        <f t="shared" si="21"/>
        <v>0</v>
      </c>
      <c r="J271" s="530"/>
      <c r="K271" s="506"/>
      <c r="M271" s="513">
        <f t="shared" si="22"/>
        <v>0</v>
      </c>
      <c r="N271" s="3"/>
      <c r="O271" s="513">
        <f t="shared" si="23"/>
        <v>0</v>
      </c>
      <c r="Q271" s="500"/>
      <c r="S271" s="513">
        <f t="shared" si="24"/>
        <v>0</v>
      </c>
    </row>
    <row r="272" spans="2:19" s="453" customFormat="1" ht="12">
      <c r="B272" s="517">
        <v>260</v>
      </c>
      <c r="C272" s="528"/>
      <c r="D272" s="498"/>
      <c r="E272" s="498"/>
      <c r="F272" s="500"/>
      <c r="G272" s="35">
        <f t="shared" si="20"/>
        <v>0</v>
      </c>
      <c r="H272" s="511">
        <f>IF(Consolidado_A!$G$133=7.6%,-(0.0165+0.076)*F272,0)</f>
        <v>0</v>
      </c>
      <c r="I272" s="35">
        <f t="shared" si="21"/>
        <v>0</v>
      </c>
      <c r="J272" s="530"/>
      <c r="K272" s="506"/>
      <c r="M272" s="513">
        <f t="shared" si="22"/>
        <v>0</v>
      </c>
      <c r="N272" s="3"/>
      <c r="O272" s="513">
        <f t="shared" si="23"/>
        <v>0</v>
      </c>
      <c r="Q272" s="500"/>
      <c r="S272" s="513">
        <f t="shared" si="24"/>
        <v>0</v>
      </c>
    </row>
    <row r="273" spans="2:19" s="453" customFormat="1" ht="12">
      <c r="B273" s="517">
        <v>261</v>
      </c>
      <c r="C273" s="528"/>
      <c r="D273" s="498"/>
      <c r="E273" s="498"/>
      <c r="F273" s="500"/>
      <c r="G273" s="35">
        <f t="shared" si="20"/>
        <v>0</v>
      </c>
      <c r="H273" s="511">
        <f>IF(Consolidado_A!$G$133=7.6%,-(0.0165+0.076)*F273,0)</f>
        <v>0</v>
      </c>
      <c r="I273" s="35">
        <f t="shared" si="21"/>
        <v>0</v>
      </c>
      <c r="J273" s="530"/>
      <c r="K273" s="506"/>
      <c r="M273" s="513">
        <f t="shared" si="22"/>
        <v>0</v>
      </c>
      <c r="N273" s="3"/>
      <c r="O273" s="513">
        <f t="shared" si="23"/>
        <v>0</v>
      </c>
      <c r="Q273" s="500"/>
      <c r="S273" s="513">
        <f t="shared" si="24"/>
        <v>0</v>
      </c>
    </row>
    <row r="274" spans="2:19" s="453" customFormat="1" ht="12">
      <c r="B274" s="517">
        <v>262</v>
      </c>
      <c r="C274" s="528"/>
      <c r="D274" s="498"/>
      <c r="E274" s="498"/>
      <c r="F274" s="500"/>
      <c r="G274" s="35">
        <f t="shared" si="20"/>
        <v>0</v>
      </c>
      <c r="H274" s="511">
        <f>IF(Consolidado_A!$G$133=7.6%,-(0.0165+0.076)*F274,0)</f>
        <v>0</v>
      </c>
      <c r="I274" s="35">
        <f t="shared" si="21"/>
        <v>0</v>
      </c>
      <c r="J274" s="530"/>
      <c r="K274" s="506"/>
      <c r="M274" s="513">
        <f t="shared" si="22"/>
        <v>0</v>
      </c>
      <c r="N274" s="3"/>
      <c r="O274" s="513">
        <f t="shared" si="23"/>
        <v>0</v>
      </c>
      <c r="Q274" s="500"/>
      <c r="S274" s="513">
        <f t="shared" si="24"/>
        <v>0</v>
      </c>
    </row>
    <row r="275" spans="2:19" s="453" customFormat="1" ht="12">
      <c r="B275" s="517">
        <v>263</v>
      </c>
      <c r="C275" s="528"/>
      <c r="D275" s="498"/>
      <c r="E275" s="498"/>
      <c r="F275" s="500"/>
      <c r="G275" s="35">
        <f t="shared" si="20"/>
        <v>0</v>
      </c>
      <c r="H275" s="511">
        <f>IF(Consolidado_A!$G$133=7.6%,-(0.0165+0.076)*F275,0)</f>
        <v>0</v>
      </c>
      <c r="I275" s="35">
        <f t="shared" si="21"/>
        <v>0</v>
      </c>
      <c r="J275" s="530"/>
      <c r="K275" s="506"/>
      <c r="M275" s="513">
        <f t="shared" si="22"/>
        <v>0</v>
      </c>
      <c r="N275" s="3"/>
      <c r="O275" s="513">
        <f t="shared" si="23"/>
        <v>0</v>
      </c>
      <c r="Q275" s="500"/>
      <c r="S275" s="513">
        <f t="shared" si="24"/>
        <v>0</v>
      </c>
    </row>
    <row r="276" spans="2:19" s="453" customFormat="1" ht="12">
      <c r="B276" s="517">
        <v>264</v>
      </c>
      <c r="C276" s="528"/>
      <c r="D276" s="498"/>
      <c r="E276" s="498"/>
      <c r="F276" s="500"/>
      <c r="G276" s="35">
        <f t="shared" si="20"/>
        <v>0</v>
      </c>
      <c r="H276" s="511">
        <f>IF(Consolidado_A!$G$133=7.6%,-(0.0165+0.076)*F276,0)</f>
        <v>0</v>
      </c>
      <c r="I276" s="35">
        <f t="shared" si="21"/>
        <v>0</v>
      </c>
      <c r="J276" s="530"/>
      <c r="K276" s="506"/>
      <c r="M276" s="513">
        <f t="shared" si="22"/>
        <v>0</v>
      </c>
      <c r="N276" s="3"/>
      <c r="O276" s="513">
        <f t="shared" si="23"/>
        <v>0</v>
      </c>
      <c r="Q276" s="500"/>
      <c r="S276" s="513">
        <f t="shared" si="24"/>
        <v>0</v>
      </c>
    </row>
    <row r="277" spans="2:19" s="453" customFormat="1" ht="12">
      <c r="B277" s="517">
        <v>265</v>
      </c>
      <c r="C277" s="528"/>
      <c r="D277" s="498"/>
      <c r="E277" s="498"/>
      <c r="F277" s="500"/>
      <c r="G277" s="35">
        <f t="shared" si="20"/>
        <v>0</v>
      </c>
      <c r="H277" s="511">
        <f>IF(Consolidado_A!$G$133=7.6%,-(0.0165+0.076)*F277,0)</f>
        <v>0</v>
      </c>
      <c r="I277" s="35">
        <f t="shared" si="21"/>
        <v>0</v>
      </c>
      <c r="J277" s="530"/>
      <c r="K277" s="506"/>
      <c r="M277" s="513">
        <f t="shared" si="22"/>
        <v>0</v>
      </c>
      <c r="N277" s="3"/>
      <c r="O277" s="513">
        <f t="shared" si="23"/>
        <v>0</v>
      </c>
      <c r="Q277" s="500"/>
      <c r="S277" s="513">
        <f t="shared" si="24"/>
        <v>0</v>
      </c>
    </row>
    <row r="278" spans="2:19" s="453" customFormat="1" ht="12">
      <c r="B278" s="517">
        <v>266</v>
      </c>
      <c r="C278" s="528"/>
      <c r="D278" s="498"/>
      <c r="E278" s="498"/>
      <c r="F278" s="500"/>
      <c r="G278" s="35">
        <f t="shared" si="20"/>
        <v>0</v>
      </c>
      <c r="H278" s="511">
        <f>IF(Consolidado_A!$G$133=7.6%,-(0.0165+0.076)*F278,0)</f>
        <v>0</v>
      </c>
      <c r="I278" s="35">
        <f t="shared" si="21"/>
        <v>0</v>
      </c>
      <c r="J278" s="530"/>
      <c r="K278" s="506"/>
      <c r="M278" s="513">
        <f t="shared" si="22"/>
        <v>0</v>
      </c>
      <c r="N278" s="3"/>
      <c r="O278" s="513">
        <f t="shared" si="23"/>
        <v>0</v>
      </c>
      <c r="Q278" s="500"/>
      <c r="S278" s="513">
        <f t="shared" si="24"/>
        <v>0</v>
      </c>
    </row>
    <row r="279" spans="2:19" s="453" customFormat="1" ht="12">
      <c r="B279" s="517">
        <v>267</v>
      </c>
      <c r="C279" s="528"/>
      <c r="D279" s="498"/>
      <c r="E279" s="498"/>
      <c r="F279" s="500"/>
      <c r="G279" s="35">
        <f t="shared" si="20"/>
        <v>0</v>
      </c>
      <c r="H279" s="511">
        <f>IF(Consolidado_A!$G$133=7.6%,-(0.0165+0.076)*F279,0)</f>
        <v>0</v>
      </c>
      <c r="I279" s="35">
        <f t="shared" si="21"/>
        <v>0</v>
      </c>
      <c r="J279" s="530"/>
      <c r="K279" s="506"/>
      <c r="M279" s="513">
        <f t="shared" si="22"/>
        <v>0</v>
      </c>
      <c r="N279" s="3"/>
      <c r="O279" s="513">
        <f t="shared" si="23"/>
        <v>0</v>
      </c>
      <c r="Q279" s="500"/>
      <c r="S279" s="513">
        <f t="shared" si="24"/>
        <v>0</v>
      </c>
    </row>
    <row r="280" spans="2:19" s="453" customFormat="1" ht="12">
      <c r="B280" s="517">
        <v>268</v>
      </c>
      <c r="C280" s="528"/>
      <c r="D280" s="498"/>
      <c r="E280" s="498"/>
      <c r="F280" s="500"/>
      <c r="G280" s="35">
        <f t="shared" si="20"/>
        <v>0</v>
      </c>
      <c r="H280" s="511">
        <f>IF(Consolidado_A!$G$133=7.6%,-(0.0165+0.076)*F280,0)</f>
        <v>0</v>
      </c>
      <c r="I280" s="35">
        <f t="shared" si="21"/>
        <v>0</v>
      </c>
      <c r="J280" s="530"/>
      <c r="K280" s="506"/>
      <c r="M280" s="513">
        <f t="shared" si="22"/>
        <v>0</v>
      </c>
      <c r="N280" s="3"/>
      <c r="O280" s="513">
        <f t="shared" si="23"/>
        <v>0</v>
      </c>
      <c r="Q280" s="500"/>
      <c r="S280" s="513">
        <f t="shared" si="24"/>
        <v>0</v>
      </c>
    </row>
    <row r="281" spans="2:19" s="453" customFormat="1" ht="12">
      <c r="B281" s="517">
        <v>269</v>
      </c>
      <c r="C281" s="528"/>
      <c r="D281" s="498"/>
      <c r="E281" s="498"/>
      <c r="F281" s="500"/>
      <c r="G281" s="35">
        <f t="shared" si="20"/>
        <v>0</v>
      </c>
      <c r="H281" s="511">
        <f>IF(Consolidado_A!$G$133=7.6%,-(0.0165+0.076)*F281,0)</f>
        <v>0</v>
      </c>
      <c r="I281" s="35">
        <f t="shared" si="21"/>
        <v>0</v>
      </c>
      <c r="J281" s="530"/>
      <c r="K281" s="506"/>
      <c r="M281" s="513">
        <f t="shared" si="22"/>
        <v>0</v>
      </c>
      <c r="N281" s="3"/>
      <c r="O281" s="513">
        <f t="shared" si="23"/>
        <v>0</v>
      </c>
      <c r="Q281" s="500"/>
      <c r="S281" s="513">
        <f t="shared" si="24"/>
        <v>0</v>
      </c>
    </row>
    <row r="282" spans="2:19" s="453" customFormat="1" ht="12">
      <c r="B282" s="517">
        <v>270</v>
      </c>
      <c r="C282" s="528"/>
      <c r="D282" s="498"/>
      <c r="E282" s="498"/>
      <c r="F282" s="500"/>
      <c r="G282" s="35">
        <f t="shared" si="20"/>
        <v>0</v>
      </c>
      <c r="H282" s="511">
        <f>IF(Consolidado_A!$G$133=7.6%,-(0.0165+0.076)*F282,0)</f>
        <v>0</v>
      </c>
      <c r="I282" s="35">
        <f t="shared" si="21"/>
        <v>0</v>
      </c>
      <c r="J282" s="530"/>
      <c r="K282" s="506"/>
      <c r="M282" s="513">
        <f t="shared" si="22"/>
        <v>0</v>
      </c>
      <c r="N282" s="3"/>
      <c r="O282" s="513">
        <f t="shared" si="23"/>
        <v>0</v>
      </c>
      <c r="Q282" s="500"/>
      <c r="S282" s="513">
        <f t="shared" si="24"/>
        <v>0</v>
      </c>
    </row>
    <row r="283" spans="2:19" s="453" customFormat="1" ht="12">
      <c r="B283" s="517">
        <v>271</v>
      </c>
      <c r="C283" s="528"/>
      <c r="D283" s="498"/>
      <c r="E283" s="498"/>
      <c r="F283" s="500"/>
      <c r="G283" s="35">
        <f t="shared" si="20"/>
        <v>0</v>
      </c>
      <c r="H283" s="511">
        <f>IF(Consolidado_A!$G$133=7.6%,-(0.0165+0.076)*F283,0)</f>
        <v>0</v>
      </c>
      <c r="I283" s="35">
        <f t="shared" si="21"/>
        <v>0</v>
      </c>
      <c r="J283" s="530"/>
      <c r="K283" s="506"/>
      <c r="M283" s="513">
        <f t="shared" si="22"/>
        <v>0</v>
      </c>
      <c r="N283" s="3"/>
      <c r="O283" s="513">
        <f t="shared" si="23"/>
        <v>0</v>
      </c>
      <c r="Q283" s="500"/>
      <c r="S283" s="513">
        <f t="shared" si="24"/>
        <v>0</v>
      </c>
    </row>
    <row r="284" spans="2:19" s="453" customFormat="1" ht="12">
      <c r="B284" s="517">
        <v>272</v>
      </c>
      <c r="C284" s="528"/>
      <c r="D284" s="498"/>
      <c r="E284" s="498"/>
      <c r="F284" s="500"/>
      <c r="G284" s="35">
        <f t="shared" si="20"/>
        <v>0</v>
      </c>
      <c r="H284" s="511">
        <f>IF(Consolidado_A!$G$133=7.6%,-(0.0165+0.076)*F284,0)</f>
        <v>0</v>
      </c>
      <c r="I284" s="35">
        <f t="shared" si="21"/>
        <v>0</v>
      </c>
      <c r="J284" s="530"/>
      <c r="K284" s="506"/>
      <c r="M284" s="513">
        <f t="shared" si="22"/>
        <v>0</v>
      </c>
      <c r="N284" s="3"/>
      <c r="O284" s="513">
        <f t="shared" si="23"/>
        <v>0</v>
      </c>
      <c r="Q284" s="500"/>
      <c r="S284" s="513">
        <f t="shared" si="24"/>
        <v>0</v>
      </c>
    </row>
    <row r="285" spans="2:19" s="453" customFormat="1" ht="12">
      <c r="B285" s="517">
        <v>273</v>
      </c>
      <c r="C285" s="528"/>
      <c r="D285" s="498"/>
      <c r="E285" s="498"/>
      <c r="F285" s="500"/>
      <c r="G285" s="35">
        <f t="shared" si="20"/>
        <v>0</v>
      </c>
      <c r="H285" s="511">
        <f>IF(Consolidado_A!$G$133=7.6%,-(0.0165+0.076)*F285,0)</f>
        <v>0</v>
      </c>
      <c r="I285" s="35">
        <f t="shared" si="21"/>
        <v>0</v>
      </c>
      <c r="J285" s="530"/>
      <c r="K285" s="506"/>
      <c r="M285" s="513">
        <f t="shared" si="22"/>
        <v>0</v>
      </c>
      <c r="N285" s="3"/>
      <c r="O285" s="513">
        <f t="shared" si="23"/>
        <v>0</v>
      </c>
      <c r="Q285" s="500"/>
      <c r="S285" s="513">
        <f t="shared" si="24"/>
        <v>0</v>
      </c>
    </row>
    <row r="286" spans="2:19" s="453" customFormat="1" ht="12">
      <c r="B286" s="517">
        <v>274</v>
      </c>
      <c r="C286" s="528"/>
      <c r="D286" s="498"/>
      <c r="E286" s="498"/>
      <c r="F286" s="500"/>
      <c r="G286" s="35">
        <f t="shared" si="20"/>
        <v>0</v>
      </c>
      <c r="H286" s="511">
        <f>IF(Consolidado_A!$G$133=7.6%,-(0.0165+0.076)*F286,0)</f>
        <v>0</v>
      </c>
      <c r="I286" s="35">
        <f t="shared" si="21"/>
        <v>0</v>
      </c>
      <c r="J286" s="530"/>
      <c r="K286" s="506"/>
      <c r="M286" s="513">
        <f t="shared" si="22"/>
        <v>0</v>
      </c>
      <c r="N286" s="3"/>
      <c r="O286" s="513">
        <f t="shared" si="23"/>
        <v>0</v>
      </c>
      <c r="Q286" s="500"/>
      <c r="S286" s="513">
        <f t="shared" si="24"/>
        <v>0</v>
      </c>
    </row>
    <row r="287" spans="2:19" s="453" customFormat="1" ht="12">
      <c r="B287" s="517">
        <v>275</v>
      </c>
      <c r="C287" s="528"/>
      <c r="D287" s="498"/>
      <c r="E287" s="498"/>
      <c r="F287" s="500"/>
      <c r="G287" s="35">
        <f t="shared" si="20"/>
        <v>0</v>
      </c>
      <c r="H287" s="511">
        <f>IF(Consolidado_A!$G$133=7.6%,-(0.0165+0.076)*F287,0)</f>
        <v>0</v>
      </c>
      <c r="I287" s="35">
        <f t="shared" si="21"/>
        <v>0</v>
      </c>
      <c r="J287" s="530"/>
      <c r="K287" s="506"/>
      <c r="M287" s="513">
        <f t="shared" si="22"/>
        <v>0</v>
      </c>
      <c r="N287" s="3"/>
      <c r="O287" s="513">
        <f t="shared" si="23"/>
        <v>0</v>
      </c>
      <c r="Q287" s="500"/>
      <c r="S287" s="513">
        <f t="shared" si="24"/>
        <v>0</v>
      </c>
    </row>
    <row r="288" spans="2:19" s="453" customFormat="1" ht="12">
      <c r="B288" s="517">
        <v>276</v>
      </c>
      <c r="C288" s="528"/>
      <c r="D288" s="498"/>
      <c r="E288" s="498"/>
      <c r="F288" s="500"/>
      <c r="G288" s="35">
        <f t="shared" si="20"/>
        <v>0</v>
      </c>
      <c r="H288" s="511">
        <f>IF(Consolidado_A!$G$133=7.6%,-(0.0165+0.076)*F288,0)</f>
        <v>0</v>
      </c>
      <c r="I288" s="35">
        <f t="shared" si="21"/>
        <v>0</v>
      </c>
      <c r="J288" s="530"/>
      <c r="K288" s="506"/>
      <c r="M288" s="513">
        <f t="shared" si="22"/>
        <v>0</v>
      </c>
      <c r="N288" s="3"/>
      <c r="O288" s="513">
        <f t="shared" si="23"/>
        <v>0</v>
      </c>
      <c r="Q288" s="500"/>
      <c r="S288" s="513">
        <f t="shared" si="24"/>
        <v>0</v>
      </c>
    </row>
    <row r="289" spans="2:19" s="453" customFormat="1" ht="12">
      <c r="B289" s="517">
        <v>277</v>
      </c>
      <c r="C289" s="528"/>
      <c r="D289" s="498"/>
      <c r="E289" s="498"/>
      <c r="F289" s="500"/>
      <c r="G289" s="35">
        <f t="shared" si="20"/>
        <v>0</v>
      </c>
      <c r="H289" s="511">
        <f>IF(Consolidado_A!$G$133=7.6%,-(0.0165+0.076)*F289,0)</f>
        <v>0</v>
      </c>
      <c r="I289" s="35">
        <f t="shared" si="21"/>
        <v>0</v>
      </c>
      <c r="J289" s="530"/>
      <c r="K289" s="506"/>
      <c r="M289" s="513">
        <f t="shared" si="22"/>
        <v>0</v>
      </c>
      <c r="N289" s="3"/>
      <c r="O289" s="513">
        <f t="shared" si="23"/>
        <v>0</v>
      </c>
      <c r="Q289" s="500"/>
      <c r="S289" s="513">
        <f t="shared" si="24"/>
        <v>0</v>
      </c>
    </row>
    <row r="290" spans="2:19" s="453" customFormat="1" ht="12">
      <c r="B290" s="517">
        <v>278</v>
      </c>
      <c r="C290" s="528"/>
      <c r="D290" s="498"/>
      <c r="E290" s="498"/>
      <c r="F290" s="500"/>
      <c r="G290" s="35">
        <f t="shared" si="20"/>
        <v>0</v>
      </c>
      <c r="H290" s="511">
        <f>IF(Consolidado_A!$G$133=7.6%,-(0.0165+0.076)*F290,0)</f>
        <v>0</v>
      </c>
      <c r="I290" s="35">
        <f t="shared" si="21"/>
        <v>0</v>
      </c>
      <c r="J290" s="530"/>
      <c r="K290" s="506"/>
      <c r="M290" s="513">
        <f t="shared" si="22"/>
        <v>0</v>
      </c>
      <c r="N290" s="3"/>
      <c r="O290" s="513">
        <f t="shared" si="23"/>
        <v>0</v>
      </c>
      <c r="Q290" s="500"/>
      <c r="S290" s="513">
        <f t="shared" si="24"/>
        <v>0</v>
      </c>
    </row>
    <row r="291" spans="2:19" s="453" customFormat="1" ht="12">
      <c r="B291" s="517">
        <v>279</v>
      </c>
      <c r="C291" s="528"/>
      <c r="D291" s="498"/>
      <c r="E291" s="498"/>
      <c r="F291" s="500"/>
      <c r="G291" s="35">
        <f t="shared" si="20"/>
        <v>0</v>
      </c>
      <c r="H291" s="511">
        <f>IF(Consolidado_A!$G$133=7.6%,-(0.0165+0.076)*F291,0)</f>
        <v>0</v>
      </c>
      <c r="I291" s="35">
        <f t="shared" si="21"/>
        <v>0</v>
      </c>
      <c r="J291" s="530"/>
      <c r="K291" s="506"/>
      <c r="M291" s="513">
        <f t="shared" si="22"/>
        <v>0</v>
      </c>
      <c r="N291" s="3"/>
      <c r="O291" s="513">
        <f t="shared" si="23"/>
        <v>0</v>
      </c>
      <c r="Q291" s="500"/>
      <c r="S291" s="513">
        <f t="shared" si="24"/>
        <v>0</v>
      </c>
    </row>
    <row r="292" spans="2:19" s="453" customFormat="1" ht="12">
      <c r="B292" s="517">
        <v>280</v>
      </c>
      <c r="C292" s="528"/>
      <c r="D292" s="498"/>
      <c r="E292" s="498"/>
      <c r="F292" s="500"/>
      <c r="G292" s="35">
        <f t="shared" si="20"/>
        <v>0</v>
      </c>
      <c r="H292" s="511">
        <f>IF(Consolidado_A!$G$133=7.6%,-(0.0165+0.076)*F292,0)</f>
        <v>0</v>
      </c>
      <c r="I292" s="35">
        <f t="shared" si="21"/>
        <v>0</v>
      </c>
      <c r="J292" s="530"/>
      <c r="K292" s="506"/>
      <c r="M292" s="513">
        <f t="shared" si="22"/>
        <v>0</v>
      </c>
      <c r="N292" s="3"/>
      <c r="O292" s="513">
        <f t="shared" si="23"/>
        <v>0</v>
      </c>
      <c r="Q292" s="500"/>
      <c r="S292" s="513">
        <f t="shared" si="24"/>
        <v>0</v>
      </c>
    </row>
    <row r="293" spans="2:19" s="453" customFormat="1" ht="12">
      <c r="B293" s="517">
        <v>281</v>
      </c>
      <c r="C293" s="528"/>
      <c r="D293" s="498"/>
      <c r="E293" s="498"/>
      <c r="F293" s="500"/>
      <c r="G293" s="35">
        <f t="shared" si="20"/>
        <v>0</v>
      </c>
      <c r="H293" s="511">
        <f>IF(Consolidado_A!$G$133=7.6%,-(0.0165+0.076)*F293,0)</f>
        <v>0</v>
      </c>
      <c r="I293" s="35">
        <f t="shared" si="21"/>
        <v>0</v>
      </c>
      <c r="J293" s="530"/>
      <c r="K293" s="506"/>
      <c r="M293" s="513">
        <f t="shared" si="22"/>
        <v>0</v>
      </c>
      <c r="N293" s="3"/>
      <c r="O293" s="513">
        <f t="shared" si="23"/>
        <v>0</v>
      </c>
      <c r="Q293" s="500"/>
      <c r="S293" s="513">
        <f t="shared" si="24"/>
        <v>0</v>
      </c>
    </row>
    <row r="294" spans="2:19" s="453" customFormat="1" ht="12">
      <c r="B294" s="517">
        <v>282</v>
      </c>
      <c r="C294" s="528"/>
      <c r="D294" s="498"/>
      <c r="E294" s="498"/>
      <c r="F294" s="500"/>
      <c r="G294" s="35">
        <f t="shared" si="20"/>
        <v>0</v>
      </c>
      <c r="H294" s="511">
        <f>IF(Consolidado_A!$G$133=7.6%,-(0.0165+0.076)*F294,0)</f>
        <v>0</v>
      </c>
      <c r="I294" s="35">
        <f t="shared" si="21"/>
        <v>0</v>
      </c>
      <c r="J294" s="530"/>
      <c r="K294" s="506"/>
      <c r="M294" s="513">
        <f t="shared" si="22"/>
        <v>0</v>
      </c>
      <c r="N294" s="3"/>
      <c r="O294" s="513">
        <f t="shared" si="23"/>
        <v>0</v>
      </c>
      <c r="Q294" s="500"/>
      <c r="S294" s="513">
        <f t="shared" si="24"/>
        <v>0</v>
      </c>
    </row>
    <row r="295" spans="2:19" s="453" customFormat="1" ht="12">
      <c r="B295" s="517">
        <v>283</v>
      </c>
      <c r="C295" s="528"/>
      <c r="D295" s="498"/>
      <c r="E295" s="498"/>
      <c r="F295" s="500"/>
      <c r="G295" s="35">
        <f t="shared" si="20"/>
        <v>0</v>
      </c>
      <c r="H295" s="511">
        <f>IF(Consolidado_A!$G$133=7.6%,-(0.0165+0.076)*F295,0)</f>
        <v>0</v>
      </c>
      <c r="I295" s="35">
        <f t="shared" si="21"/>
        <v>0</v>
      </c>
      <c r="J295" s="530"/>
      <c r="K295" s="506"/>
      <c r="M295" s="513">
        <f t="shared" si="22"/>
        <v>0</v>
      </c>
      <c r="N295" s="3"/>
      <c r="O295" s="513">
        <f t="shared" si="23"/>
        <v>0</v>
      </c>
      <c r="Q295" s="500"/>
      <c r="S295" s="513">
        <f t="shared" si="24"/>
        <v>0</v>
      </c>
    </row>
    <row r="296" spans="2:19" s="453" customFormat="1" ht="12">
      <c r="B296" s="517">
        <v>284</v>
      </c>
      <c r="C296" s="528"/>
      <c r="D296" s="498"/>
      <c r="E296" s="498"/>
      <c r="F296" s="500"/>
      <c r="G296" s="35">
        <f t="shared" si="20"/>
        <v>0</v>
      </c>
      <c r="H296" s="511">
        <f>IF(Consolidado_A!$G$133=7.6%,-(0.0165+0.076)*F296,0)</f>
        <v>0</v>
      </c>
      <c r="I296" s="35">
        <f t="shared" si="21"/>
        <v>0</v>
      </c>
      <c r="J296" s="530"/>
      <c r="K296" s="506"/>
      <c r="M296" s="513">
        <f t="shared" si="22"/>
        <v>0</v>
      </c>
      <c r="N296" s="3"/>
      <c r="O296" s="513">
        <f t="shared" si="23"/>
        <v>0</v>
      </c>
      <c r="Q296" s="500"/>
      <c r="S296" s="513">
        <f t="shared" si="24"/>
        <v>0</v>
      </c>
    </row>
    <row r="297" spans="2:19" s="453" customFormat="1" ht="12">
      <c r="B297" s="517">
        <v>285</v>
      </c>
      <c r="C297" s="528"/>
      <c r="D297" s="498"/>
      <c r="E297" s="498"/>
      <c r="F297" s="500"/>
      <c r="G297" s="35">
        <f t="shared" si="20"/>
        <v>0</v>
      </c>
      <c r="H297" s="511">
        <f>IF(Consolidado_A!$G$133=7.6%,-(0.0165+0.076)*F297,0)</f>
        <v>0</v>
      </c>
      <c r="I297" s="35">
        <f t="shared" si="21"/>
        <v>0</v>
      </c>
      <c r="J297" s="530"/>
      <c r="K297" s="506"/>
      <c r="M297" s="513">
        <f t="shared" si="22"/>
        <v>0</v>
      </c>
      <c r="N297" s="3"/>
      <c r="O297" s="513">
        <f t="shared" si="23"/>
        <v>0</v>
      </c>
      <c r="Q297" s="500"/>
      <c r="S297" s="513">
        <f t="shared" si="24"/>
        <v>0</v>
      </c>
    </row>
    <row r="298" spans="2:19" s="453" customFormat="1" ht="12">
      <c r="B298" s="517">
        <v>286</v>
      </c>
      <c r="C298" s="528"/>
      <c r="D298" s="498"/>
      <c r="E298" s="498"/>
      <c r="F298" s="500"/>
      <c r="G298" s="35">
        <f t="shared" si="20"/>
        <v>0</v>
      </c>
      <c r="H298" s="511">
        <f>IF(Consolidado_A!$G$133=7.6%,-(0.0165+0.076)*F298,0)</f>
        <v>0</v>
      </c>
      <c r="I298" s="35">
        <f t="shared" si="21"/>
        <v>0</v>
      </c>
      <c r="J298" s="530"/>
      <c r="K298" s="506"/>
      <c r="M298" s="513">
        <f t="shared" si="22"/>
        <v>0</v>
      </c>
      <c r="N298" s="3"/>
      <c r="O298" s="513">
        <f t="shared" si="23"/>
        <v>0</v>
      </c>
      <c r="Q298" s="500"/>
      <c r="S298" s="513">
        <f t="shared" si="24"/>
        <v>0</v>
      </c>
    </row>
    <row r="299" spans="2:19" s="453" customFormat="1" ht="12">
      <c r="B299" s="517">
        <v>287</v>
      </c>
      <c r="C299" s="528"/>
      <c r="D299" s="498"/>
      <c r="E299" s="498"/>
      <c r="F299" s="500"/>
      <c r="G299" s="35">
        <f t="shared" si="20"/>
        <v>0</v>
      </c>
      <c r="H299" s="511">
        <f>IF(Consolidado_A!$G$133=7.6%,-(0.0165+0.076)*F299,0)</f>
        <v>0</v>
      </c>
      <c r="I299" s="35">
        <f t="shared" si="21"/>
        <v>0</v>
      </c>
      <c r="J299" s="530"/>
      <c r="K299" s="506"/>
      <c r="M299" s="513">
        <f t="shared" si="22"/>
        <v>0</v>
      </c>
      <c r="N299" s="3"/>
      <c r="O299" s="513">
        <f t="shared" si="23"/>
        <v>0</v>
      </c>
      <c r="Q299" s="500"/>
      <c r="S299" s="513">
        <f t="shared" si="24"/>
        <v>0</v>
      </c>
    </row>
    <row r="300" spans="2:19" s="453" customFormat="1" ht="12">
      <c r="B300" s="517">
        <v>288</v>
      </c>
      <c r="C300" s="528"/>
      <c r="D300" s="498"/>
      <c r="E300" s="498"/>
      <c r="F300" s="500"/>
      <c r="G300" s="35">
        <f t="shared" si="20"/>
        <v>0</v>
      </c>
      <c r="H300" s="511">
        <f>IF(Consolidado_A!$G$133=7.6%,-(0.0165+0.076)*F300,0)</f>
        <v>0</v>
      </c>
      <c r="I300" s="35">
        <f t="shared" si="21"/>
        <v>0</v>
      </c>
      <c r="J300" s="530"/>
      <c r="K300" s="506"/>
      <c r="M300" s="513">
        <f t="shared" si="22"/>
        <v>0</v>
      </c>
      <c r="N300" s="3"/>
      <c r="O300" s="513">
        <f t="shared" si="23"/>
        <v>0</v>
      </c>
      <c r="Q300" s="500"/>
      <c r="S300" s="513">
        <f t="shared" si="24"/>
        <v>0</v>
      </c>
    </row>
    <row r="301" spans="2:19" s="453" customFormat="1" ht="12">
      <c r="B301" s="517">
        <v>289</v>
      </c>
      <c r="C301" s="528"/>
      <c r="D301" s="498"/>
      <c r="E301" s="498"/>
      <c r="F301" s="500"/>
      <c r="G301" s="35">
        <f t="shared" si="20"/>
        <v>0</v>
      </c>
      <c r="H301" s="511">
        <f>IF(Consolidado_A!$G$133=7.6%,-(0.0165+0.076)*F301,0)</f>
        <v>0</v>
      </c>
      <c r="I301" s="35">
        <f t="shared" si="21"/>
        <v>0</v>
      </c>
      <c r="J301" s="530"/>
      <c r="K301" s="506"/>
      <c r="M301" s="513">
        <f t="shared" si="22"/>
        <v>0</v>
      </c>
      <c r="N301" s="3"/>
      <c r="O301" s="513">
        <f t="shared" si="23"/>
        <v>0</v>
      </c>
      <c r="Q301" s="500"/>
      <c r="S301" s="513">
        <f t="shared" si="24"/>
        <v>0</v>
      </c>
    </row>
    <row r="302" spans="2:19" s="453" customFormat="1" ht="12">
      <c r="B302" s="517">
        <v>290</v>
      </c>
      <c r="C302" s="528"/>
      <c r="D302" s="498"/>
      <c r="E302" s="498"/>
      <c r="F302" s="500"/>
      <c r="G302" s="35">
        <f t="shared" si="20"/>
        <v>0</v>
      </c>
      <c r="H302" s="511">
        <f>IF(Consolidado_A!$G$133=7.6%,-(0.0165+0.076)*F302,0)</f>
        <v>0</v>
      </c>
      <c r="I302" s="35">
        <f t="shared" si="21"/>
        <v>0</v>
      </c>
      <c r="J302" s="530"/>
      <c r="K302" s="506"/>
      <c r="M302" s="513">
        <f t="shared" si="22"/>
        <v>0</v>
      </c>
      <c r="N302" s="3"/>
      <c r="O302" s="513">
        <f t="shared" si="23"/>
        <v>0</v>
      </c>
      <c r="Q302" s="500"/>
      <c r="S302" s="513">
        <f t="shared" si="24"/>
        <v>0</v>
      </c>
    </row>
    <row r="303" spans="2:19" s="453" customFormat="1" ht="12">
      <c r="B303" s="517">
        <v>291</v>
      </c>
      <c r="C303" s="528"/>
      <c r="D303" s="498"/>
      <c r="E303" s="498"/>
      <c r="F303" s="500"/>
      <c r="G303" s="35">
        <f t="shared" si="20"/>
        <v>0</v>
      </c>
      <c r="H303" s="511">
        <f>IF(Consolidado_A!$G$133=7.6%,-(0.0165+0.076)*F303,0)</f>
        <v>0</v>
      </c>
      <c r="I303" s="35">
        <f t="shared" si="21"/>
        <v>0</v>
      </c>
      <c r="J303" s="530"/>
      <c r="K303" s="506"/>
      <c r="M303" s="513">
        <f t="shared" si="22"/>
        <v>0</v>
      </c>
      <c r="N303" s="3"/>
      <c r="O303" s="513">
        <f t="shared" si="23"/>
        <v>0</v>
      </c>
      <c r="Q303" s="500"/>
      <c r="S303" s="513">
        <f t="shared" si="24"/>
        <v>0</v>
      </c>
    </row>
    <row r="304" spans="2:19" s="453" customFormat="1" ht="12">
      <c r="B304" s="517">
        <v>292</v>
      </c>
      <c r="C304" s="528"/>
      <c r="D304" s="498"/>
      <c r="E304" s="498"/>
      <c r="F304" s="500"/>
      <c r="G304" s="35">
        <f t="shared" si="20"/>
        <v>0</v>
      </c>
      <c r="H304" s="511">
        <f>IF(Consolidado_A!$G$133=7.6%,-(0.0165+0.076)*F304,0)</f>
        <v>0</v>
      </c>
      <c r="I304" s="35">
        <f t="shared" si="21"/>
        <v>0</v>
      </c>
      <c r="J304" s="530"/>
      <c r="K304" s="506"/>
      <c r="M304" s="513">
        <f t="shared" si="22"/>
        <v>0</v>
      </c>
      <c r="N304" s="3"/>
      <c r="O304" s="513">
        <f t="shared" si="23"/>
        <v>0</v>
      </c>
      <c r="Q304" s="500"/>
      <c r="S304" s="513">
        <f t="shared" si="24"/>
        <v>0</v>
      </c>
    </row>
    <row r="305" spans="2:19" s="453" customFormat="1" ht="12">
      <c r="B305" s="517">
        <v>293</v>
      </c>
      <c r="C305" s="528"/>
      <c r="D305" s="498"/>
      <c r="E305" s="498"/>
      <c r="F305" s="500"/>
      <c r="G305" s="35">
        <f t="shared" si="20"/>
        <v>0</v>
      </c>
      <c r="H305" s="511">
        <f>IF(Consolidado_A!$G$133=7.6%,-(0.0165+0.076)*F305,0)</f>
        <v>0</v>
      </c>
      <c r="I305" s="35">
        <f t="shared" si="21"/>
        <v>0</v>
      </c>
      <c r="J305" s="530"/>
      <c r="K305" s="506"/>
      <c r="M305" s="513">
        <f t="shared" si="22"/>
        <v>0</v>
      </c>
      <c r="N305" s="3"/>
      <c r="O305" s="513">
        <f t="shared" si="23"/>
        <v>0</v>
      </c>
      <c r="Q305" s="500"/>
      <c r="S305" s="513">
        <f t="shared" si="24"/>
        <v>0</v>
      </c>
    </row>
    <row r="306" spans="2:19" s="453" customFormat="1" ht="12">
      <c r="B306" s="517">
        <v>294</v>
      </c>
      <c r="C306" s="528"/>
      <c r="D306" s="498"/>
      <c r="E306" s="498"/>
      <c r="F306" s="500"/>
      <c r="G306" s="35">
        <f t="shared" si="20"/>
        <v>0</v>
      </c>
      <c r="H306" s="511">
        <f>IF(Consolidado_A!$G$133=7.6%,-(0.0165+0.076)*F306,0)</f>
        <v>0</v>
      </c>
      <c r="I306" s="35">
        <f t="shared" si="21"/>
        <v>0</v>
      </c>
      <c r="J306" s="530"/>
      <c r="K306" s="506"/>
      <c r="M306" s="513">
        <f t="shared" si="22"/>
        <v>0</v>
      </c>
      <c r="N306" s="3"/>
      <c r="O306" s="513">
        <f t="shared" si="23"/>
        <v>0</v>
      </c>
      <c r="Q306" s="500"/>
      <c r="S306" s="513">
        <f t="shared" si="24"/>
        <v>0</v>
      </c>
    </row>
    <row r="307" spans="2:19" s="453" customFormat="1" ht="12">
      <c r="B307" s="517">
        <v>295</v>
      </c>
      <c r="C307" s="528"/>
      <c r="D307" s="498"/>
      <c r="E307" s="498"/>
      <c r="F307" s="500"/>
      <c r="G307" s="35">
        <f t="shared" si="20"/>
        <v>0</v>
      </c>
      <c r="H307" s="511">
        <f>IF(Consolidado_A!$G$133=7.6%,-(0.0165+0.076)*F307,0)</f>
        <v>0</v>
      </c>
      <c r="I307" s="35">
        <f t="shared" si="21"/>
        <v>0</v>
      </c>
      <c r="J307" s="530"/>
      <c r="K307" s="506"/>
      <c r="M307" s="513">
        <f t="shared" si="22"/>
        <v>0</v>
      </c>
      <c r="N307" s="3"/>
      <c r="O307" s="513">
        <f t="shared" si="23"/>
        <v>0</v>
      </c>
      <c r="Q307" s="500"/>
      <c r="S307" s="513">
        <f t="shared" si="24"/>
        <v>0</v>
      </c>
    </row>
    <row r="308" spans="2:19" s="453" customFormat="1" ht="12">
      <c r="B308" s="517">
        <v>296</v>
      </c>
      <c r="C308" s="528"/>
      <c r="D308" s="498"/>
      <c r="E308" s="498"/>
      <c r="F308" s="500"/>
      <c r="G308" s="35">
        <f t="shared" si="20"/>
        <v>0</v>
      </c>
      <c r="H308" s="511">
        <f>IF(Consolidado_A!$G$133=7.6%,-(0.0165+0.076)*F308,0)</f>
        <v>0</v>
      </c>
      <c r="I308" s="35">
        <f t="shared" si="21"/>
        <v>0</v>
      </c>
      <c r="J308" s="530"/>
      <c r="K308" s="506"/>
      <c r="M308" s="513">
        <f t="shared" si="22"/>
        <v>0</v>
      </c>
      <c r="N308" s="3"/>
      <c r="O308" s="513">
        <f t="shared" si="23"/>
        <v>0</v>
      </c>
      <c r="Q308" s="500"/>
      <c r="S308" s="513">
        <f t="shared" si="24"/>
        <v>0</v>
      </c>
    </row>
    <row r="309" spans="2:19" s="453" customFormat="1" ht="12">
      <c r="B309" s="517">
        <v>297</v>
      </c>
      <c r="C309" s="528"/>
      <c r="D309" s="498"/>
      <c r="E309" s="498"/>
      <c r="F309" s="500"/>
      <c r="G309" s="35">
        <f t="shared" si="20"/>
        <v>0</v>
      </c>
      <c r="H309" s="511">
        <f>IF(Consolidado_A!$G$133=7.6%,-(0.0165+0.076)*F309,0)</f>
        <v>0</v>
      </c>
      <c r="I309" s="35">
        <f t="shared" si="21"/>
        <v>0</v>
      </c>
      <c r="J309" s="530"/>
      <c r="K309" s="506"/>
      <c r="M309" s="513">
        <f t="shared" si="22"/>
        <v>0</v>
      </c>
      <c r="N309" s="3"/>
      <c r="O309" s="513">
        <f t="shared" si="23"/>
        <v>0</v>
      </c>
      <c r="Q309" s="500"/>
      <c r="S309" s="513">
        <f t="shared" si="24"/>
        <v>0</v>
      </c>
    </row>
    <row r="310" spans="2:19" s="453" customFormat="1" ht="12">
      <c r="B310" s="517">
        <v>298</v>
      </c>
      <c r="C310" s="528"/>
      <c r="D310" s="498"/>
      <c r="E310" s="498"/>
      <c r="F310" s="500"/>
      <c r="G310" s="35">
        <f t="shared" si="20"/>
        <v>0</v>
      </c>
      <c r="H310" s="511">
        <f>IF(Consolidado_A!$G$133=7.6%,-(0.0165+0.076)*F310,0)</f>
        <v>0</v>
      </c>
      <c r="I310" s="35">
        <f t="shared" si="21"/>
        <v>0</v>
      </c>
      <c r="J310" s="530"/>
      <c r="K310" s="506"/>
      <c r="M310" s="513">
        <f t="shared" si="22"/>
        <v>0</v>
      </c>
      <c r="N310" s="3"/>
      <c r="O310" s="513">
        <f t="shared" si="23"/>
        <v>0</v>
      </c>
      <c r="Q310" s="500"/>
      <c r="S310" s="513">
        <f t="shared" si="24"/>
        <v>0</v>
      </c>
    </row>
    <row r="311" spans="2:19" s="453" customFormat="1" ht="12">
      <c r="B311" s="517">
        <v>299</v>
      </c>
      <c r="C311" s="528"/>
      <c r="D311" s="498"/>
      <c r="E311" s="498"/>
      <c r="F311" s="500"/>
      <c r="G311" s="35">
        <f t="shared" si="20"/>
        <v>0</v>
      </c>
      <c r="H311" s="511">
        <f>IF(Consolidado_A!$G$133=7.6%,-(0.0165+0.076)*F311,0)</f>
        <v>0</v>
      </c>
      <c r="I311" s="35">
        <f t="shared" si="21"/>
        <v>0</v>
      </c>
      <c r="J311" s="530"/>
      <c r="K311" s="506"/>
      <c r="M311" s="513">
        <f t="shared" si="22"/>
        <v>0</v>
      </c>
      <c r="N311" s="3"/>
      <c r="O311" s="513">
        <f t="shared" si="23"/>
        <v>0</v>
      </c>
      <c r="Q311" s="500"/>
      <c r="S311" s="513">
        <f t="shared" si="24"/>
        <v>0</v>
      </c>
    </row>
    <row r="312" spans="2:19" s="453" customFormat="1" ht="12">
      <c r="B312" s="517">
        <v>300</v>
      </c>
      <c r="C312" s="528"/>
      <c r="D312" s="498"/>
      <c r="E312" s="498"/>
      <c r="F312" s="500"/>
      <c r="G312" s="35">
        <f t="shared" si="20"/>
        <v>0</v>
      </c>
      <c r="H312" s="511">
        <f>IF(Consolidado_A!$G$133=7.6%,-(0.0165+0.076)*F312,0)</f>
        <v>0</v>
      </c>
      <c r="I312" s="35">
        <f t="shared" si="21"/>
        <v>0</v>
      </c>
      <c r="J312" s="530"/>
      <c r="K312" s="506"/>
      <c r="M312" s="513">
        <f t="shared" si="22"/>
        <v>0</v>
      </c>
      <c r="N312" s="3"/>
      <c r="O312" s="513">
        <f t="shared" si="23"/>
        <v>0</v>
      </c>
      <c r="Q312" s="500"/>
      <c r="S312" s="513">
        <f t="shared" si="24"/>
        <v>0</v>
      </c>
    </row>
    <row r="313" spans="2:19" s="453" customFormat="1" ht="12">
      <c r="B313" s="517">
        <v>301</v>
      </c>
      <c r="C313" s="528"/>
      <c r="D313" s="498"/>
      <c r="E313" s="498"/>
      <c r="F313" s="500"/>
      <c r="G313" s="35">
        <f t="shared" si="20"/>
        <v>0</v>
      </c>
      <c r="H313" s="511">
        <f>IF(Consolidado_A!$G$133=7.6%,-(0.0165+0.076)*F313,0)</f>
        <v>0</v>
      </c>
      <c r="I313" s="35">
        <f t="shared" si="21"/>
        <v>0</v>
      </c>
      <c r="J313" s="530"/>
      <c r="K313" s="506"/>
      <c r="M313" s="513">
        <f t="shared" si="22"/>
        <v>0</v>
      </c>
      <c r="N313" s="3"/>
      <c r="O313" s="513">
        <f t="shared" si="23"/>
        <v>0</v>
      </c>
      <c r="Q313" s="500"/>
      <c r="S313" s="513">
        <f t="shared" si="24"/>
        <v>0</v>
      </c>
    </row>
    <row r="314" spans="2:19" s="453" customFormat="1" ht="12">
      <c r="B314" s="517">
        <v>302</v>
      </c>
      <c r="C314" s="528"/>
      <c r="D314" s="498"/>
      <c r="E314" s="498"/>
      <c r="F314" s="500"/>
      <c r="G314" s="35">
        <f t="shared" si="20"/>
        <v>0</v>
      </c>
      <c r="H314" s="511">
        <f>IF(Consolidado_A!$G$133=7.6%,-(0.0165+0.076)*F314,0)</f>
        <v>0</v>
      </c>
      <c r="I314" s="35">
        <f t="shared" si="21"/>
        <v>0</v>
      </c>
      <c r="J314" s="530"/>
      <c r="K314" s="506"/>
      <c r="M314" s="513">
        <f t="shared" si="22"/>
        <v>0</v>
      </c>
      <c r="N314" s="3"/>
      <c r="O314" s="513">
        <f t="shared" si="23"/>
        <v>0</v>
      </c>
      <c r="Q314" s="500"/>
      <c r="S314" s="513">
        <f t="shared" si="24"/>
        <v>0</v>
      </c>
    </row>
    <row r="315" spans="2:19" s="453" customFormat="1" ht="12">
      <c r="B315" s="517">
        <v>303</v>
      </c>
      <c r="C315" s="528"/>
      <c r="D315" s="498"/>
      <c r="E315" s="498"/>
      <c r="F315" s="500"/>
      <c r="G315" s="35">
        <f t="shared" si="20"/>
        <v>0</v>
      </c>
      <c r="H315" s="511">
        <f>IF(Consolidado_A!$G$133=7.6%,-(0.0165+0.076)*F315,0)</f>
        <v>0</v>
      </c>
      <c r="I315" s="35">
        <f t="shared" si="21"/>
        <v>0</v>
      </c>
      <c r="J315" s="530"/>
      <c r="K315" s="506"/>
      <c r="M315" s="513">
        <f t="shared" si="22"/>
        <v>0</v>
      </c>
      <c r="N315" s="3"/>
      <c r="O315" s="513">
        <f t="shared" si="23"/>
        <v>0</v>
      </c>
      <c r="Q315" s="500"/>
      <c r="S315" s="513">
        <f t="shared" si="24"/>
        <v>0</v>
      </c>
    </row>
    <row r="316" spans="2:19" s="453" customFormat="1" ht="12">
      <c r="B316" s="517">
        <v>304</v>
      </c>
      <c r="C316" s="528"/>
      <c r="D316" s="498"/>
      <c r="E316" s="498"/>
      <c r="F316" s="500"/>
      <c r="G316" s="35">
        <f t="shared" si="20"/>
        <v>0</v>
      </c>
      <c r="H316" s="511">
        <f>IF(Consolidado_A!$G$133=7.6%,-(0.0165+0.076)*F316,0)</f>
        <v>0</v>
      </c>
      <c r="I316" s="35">
        <f t="shared" si="21"/>
        <v>0</v>
      </c>
      <c r="J316" s="530"/>
      <c r="K316" s="506"/>
      <c r="M316" s="513">
        <f t="shared" si="22"/>
        <v>0</v>
      </c>
      <c r="N316" s="3"/>
      <c r="O316" s="513">
        <f t="shared" si="23"/>
        <v>0</v>
      </c>
      <c r="Q316" s="500"/>
      <c r="S316" s="513">
        <f t="shared" si="24"/>
        <v>0</v>
      </c>
    </row>
    <row r="317" spans="2:19" s="453" customFormat="1" ht="12">
      <c r="B317" s="517">
        <v>305</v>
      </c>
      <c r="C317" s="528"/>
      <c r="D317" s="498"/>
      <c r="E317" s="498"/>
      <c r="F317" s="500"/>
      <c r="G317" s="35">
        <f t="shared" si="20"/>
        <v>0</v>
      </c>
      <c r="H317" s="511">
        <f>IF(Consolidado_A!$G$133=7.6%,-(0.0165+0.076)*F317,0)</f>
        <v>0</v>
      </c>
      <c r="I317" s="35">
        <f t="shared" si="21"/>
        <v>0</v>
      </c>
      <c r="J317" s="530"/>
      <c r="K317" s="506"/>
      <c r="M317" s="513">
        <f t="shared" si="22"/>
        <v>0</v>
      </c>
      <c r="N317" s="3"/>
      <c r="O317" s="513">
        <f t="shared" si="23"/>
        <v>0</v>
      </c>
      <c r="Q317" s="500"/>
      <c r="S317" s="513">
        <f t="shared" si="24"/>
        <v>0</v>
      </c>
    </row>
    <row r="318" spans="2:19" s="453" customFormat="1" ht="12">
      <c r="B318" s="517">
        <v>306</v>
      </c>
      <c r="C318" s="528"/>
      <c r="D318" s="498"/>
      <c r="E318" s="498"/>
      <c r="F318" s="500"/>
      <c r="G318" s="35">
        <f t="shared" si="20"/>
        <v>0</v>
      </c>
      <c r="H318" s="511">
        <f>IF(Consolidado_A!$G$133=7.6%,-(0.0165+0.076)*F318,0)</f>
        <v>0</v>
      </c>
      <c r="I318" s="35">
        <f t="shared" si="21"/>
        <v>0</v>
      </c>
      <c r="J318" s="530"/>
      <c r="K318" s="506"/>
      <c r="M318" s="513">
        <f t="shared" si="22"/>
        <v>0</v>
      </c>
      <c r="N318" s="3"/>
      <c r="O318" s="513">
        <f t="shared" si="23"/>
        <v>0</v>
      </c>
      <c r="Q318" s="500"/>
      <c r="S318" s="513">
        <f t="shared" si="24"/>
        <v>0</v>
      </c>
    </row>
    <row r="319" spans="2:19" s="453" customFormat="1" ht="12">
      <c r="B319" s="517">
        <v>307</v>
      </c>
      <c r="C319" s="528"/>
      <c r="D319" s="498"/>
      <c r="E319" s="498"/>
      <c r="F319" s="500"/>
      <c r="G319" s="35">
        <f t="shared" si="20"/>
        <v>0</v>
      </c>
      <c r="H319" s="511">
        <f>IF(Consolidado_A!$G$133=7.6%,-(0.0165+0.076)*F319,0)</f>
        <v>0</v>
      </c>
      <c r="I319" s="35">
        <f t="shared" si="21"/>
        <v>0</v>
      </c>
      <c r="J319" s="530"/>
      <c r="K319" s="506"/>
      <c r="M319" s="513">
        <f t="shared" si="22"/>
        <v>0</v>
      </c>
      <c r="N319" s="3"/>
      <c r="O319" s="513">
        <f t="shared" si="23"/>
        <v>0</v>
      </c>
      <c r="Q319" s="500"/>
      <c r="S319" s="513">
        <f t="shared" si="24"/>
        <v>0</v>
      </c>
    </row>
    <row r="320" spans="2:19" s="453" customFormat="1" ht="12">
      <c r="B320" s="517">
        <v>308</v>
      </c>
      <c r="C320" s="528"/>
      <c r="D320" s="498"/>
      <c r="E320" s="498"/>
      <c r="F320" s="500"/>
      <c r="G320" s="35">
        <f t="shared" si="20"/>
        <v>0</v>
      </c>
      <c r="H320" s="511">
        <f>IF(Consolidado_A!$G$133=7.6%,-(0.0165+0.076)*F320,0)</f>
        <v>0</v>
      </c>
      <c r="I320" s="35">
        <f t="shared" si="21"/>
        <v>0</v>
      </c>
      <c r="J320" s="530"/>
      <c r="K320" s="506"/>
      <c r="M320" s="513">
        <f t="shared" si="22"/>
        <v>0</v>
      </c>
      <c r="N320" s="3"/>
      <c r="O320" s="513">
        <f t="shared" si="23"/>
        <v>0</v>
      </c>
      <c r="Q320" s="500"/>
      <c r="S320" s="513">
        <f t="shared" si="24"/>
        <v>0</v>
      </c>
    </row>
    <row r="321" spans="2:19" s="453" customFormat="1" ht="12">
      <c r="B321" s="517">
        <v>309</v>
      </c>
      <c r="C321" s="528"/>
      <c r="D321" s="498"/>
      <c r="E321" s="498"/>
      <c r="F321" s="500"/>
      <c r="G321" s="35">
        <f t="shared" si="20"/>
        <v>0</v>
      </c>
      <c r="H321" s="511">
        <f>IF(Consolidado_A!$G$133=7.6%,-(0.0165+0.076)*F321,0)</f>
        <v>0</v>
      </c>
      <c r="I321" s="35">
        <f t="shared" si="21"/>
        <v>0</v>
      </c>
      <c r="J321" s="530"/>
      <c r="K321" s="506"/>
      <c r="M321" s="513">
        <f t="shared" si="22"/>
        <v>0</v>
      </c>
      <c r="N321" s="3"/>
      <c r="O321" s="513">
        <f t="shared" si="23"/>
        <v>0</v>
      </c>
      <c r="Q321" s="500"/>
      <c r="S321" s="513">
        <f t="shared" si="24"/>
        <v>0</v>
      </c>
    </row>
    <row r="322" spans="2:19" s="453" customFormat="1" ht="12">
      <c r="B322" s="517">
        <v>310</v>
      </c>
      <c r="C322" s="528"/>
      <c r="D322" s="498"/>
      <c r="E322" s="498"/>
      <c r="F322" s="500"/>
      <c r="G322" s="35">
        <f t="shared" si="20"/>
        <v>0</v>
      </c>
      <c r="H322" s="511">
        <f>IF(Consolidado_A!$G$133=7.6%,-(0.0165+0.076)*F322,0)</f>
        <v>0</v>
      </c>
      <c r="I322" s="35">
        <f t="shared" si="21"/>
        <v>0</v>
      </c>
      <c r="J322" s="530"/>
      <c r="K322" s="506"/>
      <c r="M322" s="513">
        <f t="shared" si="22"/>
        <v>0</v>
      </c>
      <c r="N322" s="3"/>
      <c r="O322" s="513">
        <f t="shared" si="23"/>
        <v>0</v>
      </c>
      <c r="Q322" s="500"/>
      <c r="S322" s="513">
        <f t="shared" si="24"/>
        <v>0</v>
      </c>
    </row>
    <row r="323" spans="2:19" s="453" customFormat="1" ht="12">
      <c r="B323" s="517">
        <v>311</v>
      </c>
      <c r="C323" s="528"/>
      <c r="D323" s="498"/>
      <c r="E323" s="498"/>
      <c r="F323" s="500"/>
      <c r="G323" s="35">
        <f t="shared" si="20"/>
        <v>0</v>
      </c>
      <c r="H323" s="511">
        <f>IF(Consolidado_A!$G$133=7.6%,-(0.0165+0.076)*F323,0)</f>
        <v>0</v>
      </c>
      <c r="I323" s="35">
        <f t="shared" si="21"/>
        <v>0</v>
      </c>
      <c r="J323" s="530"/>
      <c r="K323" s="506"/>
      <c r="M323" s="513">
        <f t="shared" si="22"/>
        <v>0</v>
      </c>
      <c r="N323" s="3"/>
      <c r="O323" s="513">
        <f t="shared" si="23"/>
        <v>0</v>
      </c>
      <c r="Q323" s="500"/>
      <c r="S323" s="513">
        <f t="shared" si="24"/>
        <v>0</v>
      </c>
    </row>
    <row r="324" spans="2:19" s="453" customFormat="1" ht="12">
      <c r="B324" s="517">
        <v>312</v>
      </c>
      <c r="C324" s="528"/>
      <c r="D324" s="498"/>
      <c r="E324" s="498"/>
      <c r="F324" s="500"/>
      <c r="G324" s="35">
        <f t="shared" si="20"/>
        <v>0</v>
      </c>
      <c r="H324" s="511">
        <f>IF(Consolidado_A!$G$133=7.6%,-(0.0165+0.076)*F324,0)</f>
        <v>0</v>
      </c>
      <c r="I324" s="35">
        <f t="shared" si="21"/>
        <v>0</v>
      </c>
      <c r="J324" s="530"/>
      <c r="K324" s="506"/>
      <c r="M324" s="513">
        <f t="shared" si="22"/>
        <v>0</v>
      </c>
      <c r="N324" s="3"/>
      <c r="O324" s="513">
        <f t="shared" si="23"/>
        <v>0</v>
      </c>
      <c r="Q324" s="500"/>
      <c r="S324" s="513">
        <f t="shared" si="24"/>
        <v>0</v>
      </c>
    </row>
    <row r="325" spans="2:19" s="453" customFormat="1" ht="12">
      <c r="B325" s="517">
        <v>313</v>
      </c>
      <c r="C325" s="528"/>
      <c r="D325" s="498"/>
      <c r="E325" s="498"/>
      <c r="F325" s="500"/>
      <c r="G325" s="35">
        <f t="shared" si="20"/>
        <v>0</v>
      </c>
      <c r="H325" s="511">
        <f>IF(Consolidado_A!$G$133=7.6%,-(0.0165+0.076)*F325,0)</f>
        <v>0</v>
      </c>
      <c r="I325" s="35">
        <f t="shared" si="21"/>
        <v>0</v>
      </c>
      <c r="J325" s="530"/>
      <c r="K325" s="506"/>
      <c r="M325" s="513">
        <f t="shared" si="22"/>
        <v>0</v>
      </c>
      <c r="N325" s="3"/>
      <c r="O325" s="513">
        <f t="shared" si="23"/>
        <v>0</v>
      </c>
      <c r="Q325" s="500"/>
      <c r="S325" s="513">
        <f t="shared" si="24"/>
        <v>0</v>
      </c>
    </row>
    <row r="326" spans="2:19" s="453" customFormat="1" ht="12">
      <c r="B326" s="517">
        <v>314</v>
      </c>
      <c r="C326" s="528"/>
      <c r="D326" s="498"/>
      <c r="E326" s="498"/>
      <c r="F326" s="500"/>
      <c r="G326" s="35">
        <f t="shared" si="20"/>
        <v>0</v>
      </c>
      <c r="H326" s="511">
        <f>IF(Consolidado_A!$G$133=7.6%,-(0.0165+0.076)*F326,0)</f>
        <v>0</v>
      </c>
      <c r="I326" s="35">
        <f t="shared" si="21"/>
        <v>0</v>
      </c>
      <c r="J326" s="530"/>
      <c r="K326" s="506"/>
      <c r="M326" s="513">
        <f t="shared" si="22"/>
        <v>0</v>
      </c>
      <c r="N326" s="3"/>
      <c r="O326" s="513">
        <f t="shared" si="23"/>
        <v>0</v>
      </c>
      <c r="Q326" s="500"/>
      <c r="S326" s="513">
        <f t="shared" si="24"/>
        <v>0</v>
      </c>
    </row>
    <row r="327" spans="2:19" s="453" customFormat="1" ht="12">
      <c r="B327" s="517">
        <v>315</v>
      </c>
      <c r="C327" s="528"/>
      <c r="D327" s="498"/>
      <c r="E327" s="498"/>
      <c r="F327" s="500"/>
      <c r="G327" s="35">
        <f t="shared" si="20"/>
        <v>0</v>
      </c>
      <c r="H327" s="511">
        <f>IF(Consolidado_A!$G$133=7.6%,-(0.0165+0.076)*F327,0)</f>
        <v>0</v>
      </c>
      <c r="I327" s="35">
        <f t="shared" si="21"/>
        <v>0</v>
      </c>
      <c r="J327" s="530"/>
      <c r="K327" s="506"/>
      <c r="M327" s="513">
        <f t="shared" si="22"/>
        <v>0</v>
      </c>
      <c r="N327" s="3"/>
      <c r="O327" s="513">
        <f t="shared" si="23"/>
        <v>0</v>
      </c>
      <c r="Q327" s="500"/>
      <c r="S327" s="513">
        <f t="shared" si="24"/>
        <v>0</v>
      </c>
    </row>
    <row r="328" spans="2:19" s="453" customFormat="1" ht="12">
      <c r="B328" s="517">
        <v>316</v>
      </c>
      <c r="C328" s="528"/>
      <c r="D328" s="498"/>
      <c r="E328" s="498"/>
      <c r="F328" s="500"/>
      <c r="G328" s="35">
        <f t="shared" si="20"/>
        <v>0</v>
      </c>
      <c r="H328" s="511">
        <f>IF(Consolidado_A!$G$133=7.6%,-(0.0165+0.076)*F328,0)</f>
        <v>0</v>
      </c>
      <c r="I328" s="35">
        <f t="shared" si="21"/>
        <v>0</v>
      </c>
      <c r="J328" s="530"/>
      <c r="K328" s="506"/>
      <c r="M328" s="513">
        <f t="shared" si="22"/>
        <v>0</v>
      </c>
      <c r="N328" s="3"/>
      <c r="O328" s="513">
        <f t="shared" si="23"/>
        <v>0</v>
      </c>
      <c r="Q328" s="500"/>
      <c r="S328" s="513">
        <f t="shared" si="24"/>
        <v>0</v>
      </c>
    </row>
    <row r="329" spans="2:19" s="453" customFormat="1" ht="12">
      <c r="B329" s="517">
        <v>317</v>
      </c>
      <c r="C329" s="528"/>
      <c r="D329" s="498"/>
      <c r="E329" s="498"/>
      <c r="F329" s="500"/>
      <c r="G329" s="35">
        <f t="shared" si="20"/>
        <v>0</v>
      </c>
      <c r="H329" s="511">
        <f>IF(Consolidado_A!$G$133=7.6%,-(0.0165+0.076)*F329,0)</f>
        <v>0</v>
      </c>
      <c r="I329" s="35">
        <f t="shared" si="21"/>
        <v>0</v>
      </c>
      <c r="J329" s="530"/>
      <c r="K329" s="506"/>
      <c r="M329" s="513">
        <f t="shared" si="22"/>
        <v>0</v>
      </c>
      <c r="N329" s="3"/>
      <c r="O329" s="513">
        <f t="shared" si="23"/>
        <v>0</v>
      </c>
      <c r="Q329" s="500"/>
      <c r="S329" s="513">
        <f t="shared" si="24"/>
        <v>0</v>
      </c>
    </row>
    <row r="330" spans="2:19" s="453" customFormat="1" ht="12">
      <c r="B330" s="517">
        <v>318</v>
      </c>
      <c r="C330" s="528"/>
      <c r="D330" s="498"/>
      <c r="E330" s="498"/>
      <c r="F330" s="500"/>
      <c r="G330" s="35">
        <f t="shared" si="20"/>
        <v>0</v>
      </c>
      <c r="H330" s="511">
        <f>IF(Consolidado_A!$G$133=7.6%,-(0.0165+0.076)*F330,0)</f>
        <v>0</v>
      </c>
      <c r="I330" s="35">
        <f t="shared" si="21"/>
        <v>0</v>
      </c>
      <c r="J330" s="530"/>
      <c r="K330" s="506"/>
      <c r="M330" s="513">
        <f t="shared" si="22"/>
        <v>0</v>
      </c>
      <c r="N330" s="3"/>
      <c r="O330" s="513">
        <f t="shared" si="23"/>
        <v>0</v>
      </c>
      <c r="Q330" s="500"/>
      <c r="S330" s="513">
        <f t="shared" si="24"/>
        <v>0</v>
      </c>
    </row>
    <row r="331" spans="2:19" s="453" customFormat="1" ht="12">
      <c r="B331" s="517">
        <v>319</v>
      </c>
      <c r="C331" s="528"/>
      <c r="D331" s="498"/>
      <c r="E331" s="498"/>
      <c r="F331" s="500"/>
      <c r="G331" s="35">
        <f t="shared" si="20"/>
        <v>0</v>
      </c>
      <c r="H331" s="511">
        <f>IF(Consolidado_A!$G$133=7.6%,-(0.0165+0.076)*F331,0)</f>
        <v>0</v>
      </c>
      <c r="I331" s="35">
        <f t="shared" si="21"/>
        <v>0</v>
      </c>
      <c r="J331" s="530"/>
      <c r="K331" s="506"/>
      <c r="M331" s="513">
        <f t="shared" si="22"/>
        <v>0</v>
      </c>
      <c r="N331" s="3"/>
      <c r="O331" s="513">
        <f t="shared" si="23"/>
        <v>0</v>
      </c>
      <c r="Q331" s="500"/>
      <c r="S331" s="513">
        <f t="shared" si="24"/>
        <v>0</v>
      </c>
    </row>
    <row r="332" spans="2:19" s="453" customFormat="1" ht="12">
      <c r="B332" s="517">
        <v>320</v>
      </c>
      <c r="C332" s="528"/>
      <c r="D332" s="498"/>
      <c r="E332" s="498"/>
      <c r="F332" s="500"/>
      <c r="G332" s="35">
        <f t="shared" si="20"/>
        <v>0</v>
      </c>
      <c r="H332" s="511">
        <f>IF(Consolidado_A!$G$133=7.6%,-(0.0165+0.076)*F332,0)</f>
        <v>0</v>
      </c>
      <c r="I332" s="35">
        <f t="shared" si="21"/>
        <v>0</v>
      </c>
      <c r="J332" s="530"/>
      <c r="K332" s="506"/>
      <c r="M332" s="513">
        <f t="shared" si="22"/>
        <v>0</v>
      </c>
      <c r="N332" s="3"/>
      <c r="O332" s="513">
        <f t="shared" si="23"/>
        <v>0</v>
      </c>
      <c r="Q332" s="500"/>
      <c r="S332" s="513">
        <f t="shared" si="24"/>
        <v>0</v>
      </c>
    </row>
    <row r="333" spans="2:19" s="453" customFormat="1" ht="12">
      <c r="B333" s="517">
        <v>321</v>
      </c>
      <c r="C333" s="528"/>
      <c r="D333" s="498"/>
      <c r="E333" s="498"/>
      <c r="F333" s="500"/>
      <c r="G333" s="35">
        <f>F333*E333</f>
        <v>0</v>
      </c>
      <c r="H333" s="511">
        <f>IF(Consolidado_A!$G$133=7.6%,-(0.0165+0.076)*F333,0)</f>
        <v>0</v>
      </c>
      <c r="I333" s="35">
        <f>H333*E333</f>
        <v>0</v>
      </c>
      <c r="J333" s="530"/>
      <c r="K333" s="506"/>
      <c r="M333" s="513">
        <f t="shared" si="22"/>
        <v>0</v>
      </c>
      <c r="N333" s="3"/>
      <c r="O333" s="513">
        <f t="shared" si="23"/>
        <v>0</v>
      </c>
      <c r="Q333" s="500"/>
      <c r="S333" s="513">
        <f t="shared" si="24"/>
        <v>0</v>
      </c>
    </row>
    <row r="334" spans="2:19" s="453" customFormat="1" ht="12">
      <c r="B334" s="517">
        <v>322</v>
      </c>
      <c r="C334" s="528"/>
      <c r="D334" s="498"/>
      <c r="E334" s="498"/>
      <c r="F334" s="500"/>
      <c r="G334" s="35">
        <f>F334*E334</f>
        <v>0</v>
      </c>
      <c r="H334" s="511">
        <f>IF(Consolidado_A!$G$133=7.6%,-(0.0165+0.076)*F334,0)</f>
        <v>0</v>
      </c>
      <c r="I334" s="35">
        <f>H334*E334</f>
        <v>0</v>
      </c>
      <c r="J334" s="530"/>
      <c r="K334" s="506"/>
      <c r="M334" s="513">
        <f t="shared" si="22"/>
        <v>0</v>
      </c>
      <c r="N334" s="3"/>
      <c r="O334" s="513">
        <f t="shared" si="23"/>
        <v>0</v>
      </c>
      <c r="Q334" s="500"/>
      <c r="S334" s="513">
        <f t="shared" si="24"/>
        <v>0</v>
      </c>
    </row>
    <row r="335" spans="2:19" s="453" customFormat="1" ht="12">
      <c r="B335" s="517">
        <v>323</v>
      </c>
      <c r="C335" s="528"/>
      <c r="D335" s="498"/>
      <c r="E335" s="498"/>
      <c r="F335" s="500"/>
      <c r="G335" s="35">
        <f>F335*E335</f>
        <v>0</v>
      </c>
      <c r="H335" s="511">
        <f>IF(Consolidado_A!$G$133=7.6%,-(0.0165+0.076)*F335,0)</f>
        <v>0</v>
      </c>
      <c r="I335" s="35">
        <f>H335*E335</f>
        <v>0</v>
      </c>
      <c r="J335" s="530"/>
      <c r="K335" s="506"/>
      <c r="M335" s="513">
        <f t="shared" si="22"/>
        <v>0</v>
      </c>
      <c r="N335" s="3"/>
      <c r="O335" s="513">
        <f t="shared" si="23"/>
        <v>0</v>
      </c>
      <c r="Q335" s="500"/>
      <c r="S335" s="513">
        <f t="shared" si="24"/>
        <v>0</v>
      </c>
    </row>
    <row r="336" spans="2:19" s="453" customFormat="1" ht="12">
      <c r="B336" s="517">
        <v>324</v>
      </c>
      <c r="C336" s="528"/>
      <c r="D336" s="498"/>
      <c r="E336" s="498"/>
      <c r="F336" s="500"/>
      <c r="G336" s="35">
        <f>F336*E336</f>
        <v>0</v>
      </c>
      <c r="H336" s="511">
        <f>IF(Consolidado_A!$G$133=7.6%,-(0.0165+0.076)*F336,0)</f>
        <v>0</v>
      </c>
      <c r="I336" s="35">
        <f>H336*E336</f>
        <v>0</v>
      </c>
      <c r="J336" s="530"/>
      <c r="K336" s="506"/>
      <c r="M336" s="513">
        <f t="shared" si="22"/>
        <v>0</v>
      </c>
      <c r="N336" s="3"/>
      <c r="O336" s="513">
        <f t="shared" si="23"/>
        <v>0</v>
      </c>
      <c r="Q336" s="500"/>
      <c r="S336" s="513">
        <f t="shared" si="24"/>
        <v>0</v>
      </c>
    </row>
    <row r="337" spans="2:19" s="453" customFormat="1" thickBot="1">
      <c r="B337" s="517">
        <v>325</v>
      </c>
      <c r="C337" s="529"/>
      <c r="D337" s="502"/>
      <c r="E337" s="502"/>
      <c r="F337" s="504"/>
      <c r="G337" s="35">
        <f>F337*E337</f>
        <v>0</v>
      </c>
      <c r="H337" s="511">
        <f>IF(Consolidado_A!$G$133=7.6%,-(0.0165+0.076)*F337,0)</f>
        <v>0</v>
      </c>
      <c r="I337" s="35">
        <f>H337*E337</f>
        <v>0</v>
      </c>
      <c r="J337" s="531"/>
      <c r="K337" s="508"/>
      <c r="M337" s="514">
        <f t="shared" si="22"/>
        <v>0</v>
      </c>
      <c r="N337" s="3"/>
      <c r="O337" s="514">
        <f t="shared" si="23"/>
        <v>0</v>
      </c>
      <c r="Q337" s="504"/>
      <c r="S337" s="514">
        <f t="shared" si="24"/>
        <v>0</v>
      </c>
    </row>
    <row r="338" spans="2:19" ht="15.75" customHeight="1"/>
    <row r="339" spans="2:19" ht="15.75" customHeight="1"/>
    <row r="340" spans="2:19" ht="15.75" customHeight="1"/>
    <row r="341" spans="2:19" ht="15.75" customHeight="1"/>
    <row r="342" spans="2:19" ht="15.75" customHeight="1"/>
    <row r="343" spans="2:19" ht="15.75" customHeight="1"/>
    <row r="344" spans="2:19" ht="15.75" customHeight="1"/>
    <row r="345" spans="2:19" ht="15.75" customHeight="1"/>
    <row r="346" spans="2:19" ht="15.75" customHeight="1"/>
    <row r="347" spans="2:19" ht="15.75" customHeight="1"/>
    <row r="348" spans="2:19" ht="15.75" customHeight="1"/>
    <row r="349" spans="2:19" ht="15.75" customHeight="1"/>
    <row r="350" spans="2:19" ht="15.75" customHeight="1"/>
    <row r="351" spans="2:19" ht="15.75" customHeight="1"/>
  </sheetData>
  <sheetProtection password="CADB" sheet="1" objects="1" scenarios="1"/>
  <mergeCells count="1">
    <mergeCell ref="C4:S4"/>
  </mergeCells>
  <phoneticPr fontId="0" type="noConversion"/>
  <conditionalFormatting sqref="Q10 S10">
    <cfRule type="cellIs" dxfId="7" priority="1" stopIfTrue="1" operator="greaterThan">
      <formula>0.01</formula>
    </cfRule>
  </conditionalFormatting>
  <hyperlinks>
    <hyperlink ref="C2" r:id="rId1"/>
  </hyperlinks>
  <printOptions horizontalCentered="1"/>
  <pageMargins left="0.31" right="0.2" top="0.65" bottom="0.68" header="0.35" footer="0.51181102362204722"/>
  <pageSetup paperSize="9" scale="95" orientation="landscape" blackAndWhite="1" r:id="rId2"/>
  <headerFooter alignWithMargins="0">
    <oddFooter>&amp;R&amp;F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M94"/>
  <sheetViews>
    <sheetView showGridLines="0" showZeros="0" workbookViewId="0">
      <pane ySplit="9" topLeftCell="A10" activePane="bottomLeft" state="frozenSplit"/>
      <selection activeCell="C6" sqref="C6:Q6"/>
      <selection pane="bottomLeft" activeCell="A10" sqref="A10"/>
    </sheetView>
  </sheetViews>
  <sheetFormatPr defaultRowHeight="12.75"/>
  <cols>
    <col min="1" max="1" width="9.140625" style="647"/>
    <col min="2" max="2" width="2.5703125" style="647" customWidth="1"/>
    <col min="3" max="3" width="41.85546875" style="648" customWidth="1"/>
    <col min="4" max="4" width="1.28515625" style="647" customWidth="1"/>
    <col min="5" max="5" width="5.5703125" style="647" customWidth="1"/>
    <col min="6" max="6" width="1.140625" style="647" customWidth="1"/>
    <col min="7" max="7" width="13.42578125" style="647" customWidth="1"/>
    <col min="8" max="8" width="1.140625" style="647" customWidth="1"/>
    <col min="9" max="9" width="13.7109375" style="647" customWidth="1"/>
    <col min="10" max="10" width="1.140625" style="647" customWidth="1"/>
    <col min="11" max="11" width="13.7109375" style="647" customWidth="1"/>
    <col min="12" max="12" width="2.28515625" style="647" customWidth="1"/>
    <col min="13" max="16384" width="9.140625" style="647"/>
  </cols>
  <sheetData>
    <row r="1" spans="1:13" ht="6" customHeight="1"/>
    <row r="2" spans="1:13" ht="14.25" customHeight="1">
      <c r="D2" s="648"/>
      <c r="E2" s="648"/>
      <c r="F2" s="648"/>
      <c r="G2" s="648"/>
      <c r="H2" s="648"/>
      <c r="I2" s="648"/>
      <c r="J2" s="648"/>
      <c r="K2" s="648"/>
      <c r="L2" s="648"/>
      <c r="M2" s="648"/>
    </row>
    <row r="4" spans="1:13" s="650" customFormat="1" ht="16.5" customHeight="1" thickBot="1">
      <c r="A4" s="649"/>
      <c r="B4" s="1084" t="s">
        <v>249</v>
      </c>
      <c r="C4" s="1085"/>
      <c r="D4" s="1085"/>
      <c r="E4" s="1085"/>
      <c r="F4" s="1085"/>
      <c r="G4" s="1085"/>
      <c r="H4" s="1085"/>
      <c r="I4" s="1085"/>
      <c r="J4" s="1085"/>
      <c r="K4" s="1086"/>
      <c r="L4" s="649"/>
      <c r="M4" s="649"/>
    </row>
    <row r="5" spans="1:13" ht="7.5" customHeight="1">
      <c r="A5" s="447"/>
      <c r="B5" s="518"/>
      <c r="C5" s="651"/>
      <c r="D5" s="466"/>
      <c r="E5" s="652"/>
      <c r="F5" s="652"/>
      <c r="G5" s="653"/>
      <c r="H5" s="4"/>
      <c r="I5" s="653"/>
      <c r="J5" s="653"/>
      <c r="K5" s="653"/>
      <c r="L5" s="653"/>
      <c r="M5" s="653"/>
    </row>
    <row r="6" spans="1:13" ht="17.25" customHeight="1">
      <c r="A6" s="447"/>
      <c r="B6" s="518"/>
      <c r="C6" s="730" t="s">
        <v>475</v>
      </c>
      <c r="D6" s="1087">
        <f>Dados!C16</f>
        <v>12</v>
      </c>
      <c r="E6" s="1088"/>
      <c r="F6" s="1089"/>
      <c r="G6" s="830" t="s">
        <v>584</v>
      </c>
      <c r="H6" s="4"/>
      <c r="I6" s="653"/>
      <c r="J6" s="653"/>
      <c r="K6" s="653"/>
      <c r="L6" s="653"/>
      <c r="M6" s="653"/>
    </row>
    <row r="7" spans="1:13" ht="18.75" customHeight="1" thickBot="1">
      <c r="A7" s="447"/>
      <c r="B7" s="518"/>
      <c r="C7" s="731"/>
      <c r="D7" s="466"/>
      <c r="E7" s="652"/>
      <c r="F7" s="652"/>
      <c r="G7" s="652"/>
      <c r="H7" s="652"/>
      <c r="I7" s="652"/>
      <c r="J7" s="653"/>
      <c r="K7" s="672">
        <f>TRUNC((SUM(K12:K89)),2)</f>
        <v>6151.12</v>
      </c>
      <c r="L7" s="653"/>
      <c r="M7" s="653"/>
    </row>
    <row r="8" spans="1:13">
      <c r="A8" s="654"/>
      <c r="B8" s="655"/>
      <c r="C8" s="656">
        <v>1</v>
      </c>
      <c r="D8" s="657"/>
      <c r="E8" s="658">
        <v>2</v>
      </c>
      <c r="F8" s="659"/>
      <c r="G8" s="658">
        <v>3</v>
      </c>
      <c r="H8" s="659"/>
      <c r="I8" s="656">
        <v>4</v>
      </c>
      <c r="J8" s="732"/>
      <c r="K8" s="656">
        <v>5</v>
      </c>
      <c r="L8" s="653"/>
      <c r="M8" s="653"/>
    </row>
    <row r="9" spans="1:13" ht="30" customHeight="1" thickBot="1">
      <c r="A9" s="651"/>
      <c r="B9" s="660"/>
      <c r="C9" s="665" t="s">
        <v>88</v>
      </c>
      <c r="D9" s="661"/>
      <c r="E9" s="665" t="s">
        <v>218</v>
      </c>
      <c r="F9" s="662"/>
      <c r="G9" s="665" t="s">
        <v>118</v>
      </c>
      <c r="H9" s="663"/>
      <c r="I9" s="665" t="s">
        <v>130</v>
      </c>
      <c r="J9" s="653"/>
      <c r="K9" s="665" t="s">
        <v>83</v>
      </c>
      <c r="L9" s="653"/>
      <c r="M9" s="653"/>
    </row>
    <row r="10" spans="1:13" ht="5.25" customHeight="1">
      <c r="A10" s="651"/>
      <c r="B10" s="660"/>
      <c r="C10" s="466"/>
      <c r="D10" s="661"/>
      <c r="E10" s="466"/>
      <c r="F10" s="662"/>
      <c r="G10" s="466"/>
      <c r="H10" s="663"/>
      <c r="I10" s="466"/>
      <c r="J10" s="653"/>
      <c r="K10" s="466"/>
      <c r="L10" s="653"/>
      <c r="M10" s="653"/>
    </row>
    <row r="11" spans="1:13" ht="9" customHeight="1">
      <c r="A11" s="651"/>
      <c r="B11" s="660"/>
      <c r="C11" s="466"/>
      <c r="D11" s="661"/>
      <c r="E11" s="466"/>
      <c r="F11" s="662"/>
      <c r="G11" s="466"/>
      <c r="H11" s="663"/>
      <c r="I11" s="466"/>
      <c r="J11" s="653"/>
      <c r="K11" s="466"/>
      <c r="L11" s="653"/>
      <c r="M11" s="653"/>
    </row>
    <row r="12" spans="1:13" ht="89.25">
      <c r="A12" s="447"/>
      <c r="B12" s="518">
        <v>1</v>
      </c>
      <c r="C12" s="979" t="s">
        <v>691</v>
      </c>
      <c r="D12" s="9"/>
      <c r="E12" s="668">
        <v>1</v>
      </c>
      <c r="F12" s="5"/>
      <c r="G12" s="670">
        <v>5198.05</v>
      </c>
      <c r="H12" s="5"/>
      <c r="I12" s="733">
        <f>IF(Consolidado_A!$G$133&gt;=7.6%,-(0.0165+0.076)*G12,0)</f>
        <v>-480.81962500000003</v>
      </c>
      <c r="J12" s="653"/>
      <c r="K12" s="671">
        <f t="shared" ref="K12:K43" si="0">IF(D$6&gt;0,((G12+I12)*E12)/$D$6,0)</f>
        <v>393.10253125000003</v>
      </c>
      <c r="L12" s="653"/>
      <c r="M12" s="653"/>
    </row>
    <row r="13" spans="1:13" ht="25.5">
      <c r="A13" s="447"/>
      <c r="B13" s="518">
        <v>2</v>
      </c>
      <c r="C13" s="979" t="s">
        <v>688</v>
      </c>
      <c r="D13" s="9"/>
      <c r="E13" s="668">
        <v>2</v>
      </c>
      <c r="F13" s="5"/>
      <c r="G13" s="670">
        <v>16016.02</v>
      </c>
      <c r="H13" s="5"/>
      <c r="I13" s="733">
        <f>IF(Consolidado_A!$G$133&gt;=7.6%,-(0.0165+0.076)*G13,0)</f>
        <v>-1481.4818500000001</v>
      </c>
      <c r="J13" s="653"/>
      <c r="K13" s="671">
        <f t="shared" si="0"/>
        <v>2422.4230250000001</v>
      </c>
      <c r="L13" s="653"/>
      <c r="M13" s="653"/>
    </row>
    <row r="14" spans="1:13" ht="25.5">
      <c r="A14" s="447"/>
      <c r="B14" s="518">
        <v>3</v>
      </c>
      <c r="C14" s="979" t="s">
        <v>689</v>
      </c>
      <c r="D14" s="9"/>
      <c r="E14" s="668">
        <v>2</v>
      </c>
      <c r="F14" s="5"/>
      <c r="G14" s="670">
        <v>16551.52</v>
      </c>
      <c r="H14" s="5"/>
      <c r="I14" s="733">
        <f>IF(Consolidado_A!$G$133&gt;=7.6%,-(0.0165+0.076)*G14,0)</f>
        <v>-1531.0155999999999</v>
      </c>
      <c r="J14" s="653"/>
      <c r="K14" s="671">
        <f t="shared" si="0"/>
        <v>2503.4173999999998</v>
      </c>
      <c r="L14" s="653"/>
      <c r="M14" s="653"/>
    </row>
    <row r="15" spans="1:13" ht="25.5">
      <c r="A15" s="447"/>
      <c r="B15" s="518">
        <v>4</v>
      </c>
      <c r="C15" s="666" t="s">
        <v>690</v>
      </c>
      <c r="D15" s="9"/>
      <c r="E15" s="668">
        <v>1</v>
      </c>
      <c r="F15" s="5"/>
      <c r="G15" s="670">
        <v>11004</v>
      </c>
      <c r="H15" s="5"/>
      <c r="I15" s="733">
        <f>IF(Consolidado_A!$G$133&gt;=7.6%,-(0.0165+0.076)*G15,0)</f>
        <v>-1017.87</v>
      </c>
      <c r="J15" s="653"/>
      <c r="K15" s="671">
        <f t="shared" si="0"/>
        <v>832.1774999999999</v>
      </c>
      <c r="L15" s="653"/>
      <c r="M15" s="653"/>
    </row>
    <row r="16" spans="1:13">
      <c r="A16" s="447"/>
      <c r="B16" s="518">
        <v>5</v>
      </c>
      <c r="C16" s="666"/>
      <c r="D16" s="9"/>
      <c r="E16" s="668"/>
      <c r="F16" s="5"/>
      <c r="G16" s="670"/>
      <c r="H16" s="5"/>
      <c r="I16" s="733">
        <f>IF(Consolidado_A!$G$133&gt;=7.6%,-(0.0165+0.076)*G16,0)</f>
        <v>0</v>
      </c>
      <c r="J16" s="653"/>
      <c r="K16" s="671">
        <f t="shared" si="0"/>
        <v>0</v>
      </c>
      <c r="L16" s="653"/>
      <c r="M16" s="653"/>
    </row>
    <row r="17" spans="1:13">
      <c r="A17" s="447"/>
      <c r="B17" s="518">
        <v>6</v>
      </c>
      <c r="C17" s="666"/>
      <c r="D17" s="9"/>
      <c r="E17" s="668"/>
      <c r="F17" s="5"/>
      <c r="G17" s="670"/>
      <c r="H17" s="5"/>
      <c r="I17" s="733">
        <f>IF(Consolidado_A!$G$133&gt;=7.6%,-(0.0165+0.076)*G17,0)</f>
        <v>0</v>
      </c>
      <c r="J17" s="653"/>
      <c r="K17" s="671">
        <f t="shared" si="0"/>
        <v>0</v>
      </c>
      <c r="L17" s="653"/>
      <c r="M17" s="653"/>
    </row>
    <row r="18" spans="1:13">
      <c r="A18" s="447"/>
      <c r="B18" s="518">
        <v>7</v>
      </c>
      <c r="C18" s="666"/>
      <c r="D18" s="9"/>
      <c r="E18" s="668"/>
      <c r="F18" s="5"/>
      <c r="G18" s="670"/>
      <c r="H18" s="5"/>
      <c r="I18" s="733">
        <f>IF(Consolidado_A!$G$133&gt;=7.6%,-(0.0165+0.076)*G18,0)</f>
        <v>0</v>
      </c>
      <c r="J18" s="653"/>
      <c r="K18" s="671">
        <f t="shared" si="0"/>
        <v>0</v>
      </c>
      <c r="L18" s="653"/>
      <c r="M18" s="653"/>
    </row>
    <row r="19" spans="1:13">
      <c r="A19" s="447"/>
      <c r="B19" s="518">
        <v>8</v>
      </c>
      <c r="C19" s="666"/>
      <c r="D19" s="9"/>
      <c r="E19" s="668"/>
      <c r="F19" s="5"/>
      <c r="G19" s="670"/>
      <c r="H19" s="5"/>
      <c r="I19" s="733">
        <f>IF(Consolidado_A!$G$133&gt;=7.6%,-(0.0165+0.076)*G19,0)</f>
        <v>0</v>
      </c>
      <c r="J19" s="653"/>
      <c r="K19" s="671">
        <f t="shared" si="0"/>
        <v>0</v>
      </c>
      <c r="L19" s="653"/>
      <c r="M19" s="653"/>
    </row>
    <row r="20" spans="1:13">
      <c r="A20" s="447"/>
      <c r="B20" s="518">
        <v>9</v>
      </c>
      <c r="C20" s="666"/>
      <c r="D20" s="9"/>
      <c r="E20" s="668"/>
      <c r="F20" s="5"/>
      <c r="G20" s="670"/>
      <c r="H20" s="5"/>
      <c r="I20" s="733">
        <f>IF(Consolidado_A!$G$133&gt;=7.6%,-(0.0165+0.076)*G20,0)</f>
        <v>0</v>
      </c>
      <c r="J20" s="653"/>
      <c r="K20" s="671">
        <f t="shared" si="0"/>
        <v>0</v>
      </c>
      <c r="L20" s="653"/>
      <c r="M20" s="653"/>
    </row>
    <row r="21" spans="1:13" hidden="1">
      <c r="A21" s="447"/>
      <c r="B21" s="518">
        <v>10</v>
      </c>
      <c r="C21" s="666"/>
      <c r="D21" s="9"/>
      <c r="E21" s="668"/>
      <c r="F21" s="5"/>
      <c r="G21" s="670"/>
      <c r="H21" s="5"/>
      <c r="I21" s="733">
        <f>IF(Consolidado_A!$G$133&gt;=7.6%,-(0.0165+0.076)*G21,0)</f>
        <v>0</v>
      </c>
      <c r="J21" s="653"/>
      <c r="K21" s="671">
        <f t="shared" si="0"/>
        <v>0</v>
      </c>
      <c r="L21" s="653"/>
      <c r="M21" s="653"/>
    </row>
    <row r="22" spans="1:13" hidden="1">
      <c r="A22" s="447"/>
      <c r="B22" s="518">
        <v>11</v>
      </c>
      <c r="C22" s="666"/>
      <c r="D22" s="9"/>
      <c r="E22" s="668"/>
      <c r="F22" s="5"/>
      <c r="G22" s="670"/>
      <c r="H22" s="5"/>
      <c r="I22" s="733">
        <f>IF(Consolidado_A!$G$133&gt;=7.6%,-(0.0165+0.076)*G22,0)</f>
        <v>0</v>
      </c>
      <c r="J22" s="653"/>
      <c r="K22" s="671">
        <f t="shared" si="0"/>
        <v>0</v>
      </c>
      <c r="L22" s="653"/>
      <c r="M22" s="653"/>
    </row>
    <row r="23" spans="1:13" hidden="1">
      <c r="A23" s="447"/>
      <c r="B23" s="518">
        <v>12</v>
      </c>
      <c r="C23" s="666"/>
      <c r="D23" s="9"/>
      <c r="E23" s="668"/>
      <c r="F23" s="5"/>
      <c r="G23" s="670"/>
      <c r="H23" s="5"/>
      <c r="I23" s="733">
        <f>IF(Consolidado_A!$G$133&gt;=7.6%,-(0.0165+0.076)*G23,0)</f>
        <v>0</v>
      </c>
      <c r="J23" s="653"/>
      <c r="K23" s="671">
        <f t="shared" si="0"/>
        <v>0</v>
      </c>
      <c r="L23" s="653"/>
      <c r="M23" s="653"/>
    </row>
    <row r="24" spans="1:13" hidden="1">
      <c r="A24" s="447"/>
      <c r="B24" s="518">
        <v>13</v>
      </c>
      <c r="C24" s="666"/>
      <c r="D24" s="9"/>
      <c r="E24" s="668"/>
      <c r="F24" s="5"/>
      <c r="G24" s="670"/>
      <c r="H24" s="5"/>
      <c r="I24" s="733">
        <f>IF(Consolidado_A!$G$133&gt;=7.6%,-(0.0165+0.076)*G24,0)</f>
        <v>0</v>
      </c>
      <c r="J24" s="653"/>
      <c r="K24" s="671">
        <f t="shared" si="0"/>
        <v>0</v>
      </c>
      <c r="L24" s="653"/>
      <c r="M24" s="653"/>
    </row>
    <row r="25" spans="1:13" hidden="1">
      <c r="A25" s="447"/>
      <c r="B25" s="518">
        <v>14</v>
      </c>
      <c r="C25" s="666"/>
      <c r="D25" s="9"/>
      <c r="E25" s="668"/>
      <c r="F25" s="5"/>
      <c r="G25" s="670"/>
      <c r="H25" s="5"/>
      <c r="I25" s="733">
        <f>IF(Consolidado_A!$G$133&gt;=7.6%,-(0.0165+0.076)*G25,0)</f>
        <v>0</v>
      </c>
      <c r="J25" s="653"/>
      <c r="K25" s="671">
        <f t="shared" si="0"/>
        <v>0</v>
      </c>
      <c r="L25" s="653"/>
      <c r="M25" s="653"/>
    </row>
    <row r="26" spans="1:13" hidden="1">
      <c r="A26" s="447"/>
      <c r="B26" s="518">
        <v>15</v>
      </c>
      <c r="C26" s="666"/>
      <c r="D26" s="9"/>
      <c r="E26" s="668"/>
      <c r="F26" s="5"/>
      <c r="G26" s="670"/>
      <c r="H26" s="5"/>
      <c r="I26" s="733">
        <f>IF(Consolidado_A!$G$133&gt;=7.6%,-(0.0165+0.076)*G26,0)</f>
        <v>0</v>
      </c>
      <c r="J26" s="653"/>
      <c r="K26" s="671">
        <f t="shared" si="0"/>
        <v>0</v>
      </c>
      <c r="L26" s="653"/>
      <c r="M26" s="653"/>
    </row>
    <row r="27" spans="1:13" hidden="1">
      <c r="A27" s="447"/>
      <c r="B27" s="518">
        <v>16</v>
      </c>
      <c r="C27" s="666"/>
      <c r="D27" s="9"/>
      <c r="E27" s="668"/>
      <c r="F27" s="5"/>
      <c r="G27" s="670"/>
      <c r="H27" s="5"/>
      <c r="I27" s="733">
        <f>IF(Consolidado_A!$G$133&gt;=7.6%,-(0.0165+0.076)*G27,0)</f>
        <v>0</v>
      </c>
      <c r="J27" s="653"/>
      <c r="K27" s="671">
        <f t="shared" si="0"/>
        <v>0</v>
      </c>
      <c r="L27" s="653"/>
      <c r="M27" s="653"/>
    </row>
    <row r="28" spans="1:13" hidden="1">
      <c r="A28" s="447"/>
      <c r="B28" s="518">
        <v>17</v>
      </c>
      <c r="C28" s="666"/>
      <c r="D28" s="9"/>
      <c r="E28" s="668"/>
      <c r="F28" s="5"/>
      <c r="G28" s="670"/>
      <c r="H28" s="5"/>
      <c r="I28" s="733">
        <f>IF(Consolidado_A!$G$133&gt;=7.6%,-(0.0165+0.076)*G28,0)</f>
        <v>0</v>
      </c>
      <c r="J28" s="653"/>
      <c r="K28" s="671">
        <f t="shared" si="0"/>
        <v>0</v>
      </c>
      <c r="L28" s="653"/>
      <c r="M28" s="653"/>
    </row>
    <row r="29" spans="1:13" hidden="1">
      <c r="A29" s="447"/>
      <c r="B29" s="518">
        <v>18</v>
      </c>
      <c r="C29" s="666"/>
      <c r="D29" s="9"/>
      <c r="E29" s="668"/>
      <c r="F29" s="5"/>
      <c r="G29" s="670"/>
      <c r="H29" s="5"/>
      <c r="I29" s="733">
        <f>IF(Consolidado_A!$G$133&gt;=7.6%,-(0.0165+0.076)*G29,0)</f>
        <v>0</v>
      </c>
      <c r="J29" s="653"/>
      <c r="K29" s="671">
        <f t="shared" si="0"/>
        <v>0</v>
      </c>
      <c r="L29" s="653"/>
      <c r="M29" s="653"/>
    </row>
    <row r="30" spans="1:13" hidden="1">
      <c r="A30" s="447"/>
      <c r="B30" s="518">
        <v>19</v>
      </c>
      <c r="C30" s="666"/>
      <c r="D30" s="9"/>
      <c r="E30" s="668"/>
      <c r="F30" s="5"/>
      <c r="G30" s="670"/>
      <c r="H30" s="5"/>
      <c r="I30" s="733">
        <f>IF(Consolidado_A!$G$133&gt;=7.6%,-(0.0165+0.076)*G30,0)</f>
        <v>0</v>
      </c>
      <c r="J30" s="653"/>
      <c r="K30" s="671">
        <f t="shared" si="0"/>
        <v>0</v>
      </c>
      <c r="L30" s="653"/>
      <c r="M30" s="653"/>
    </row>
    <row r="31" spans="1:13" hidden="1">
      <c r="A31" s="447"/>
      <c r="B31" s="518">
        <v>20</v>
      </c>
      <c r="C31" s="666"/>
      <c r="D31" s="9"/>
      <c r="E31" s="668"/>
      <c r="F31" s="5"/>
      <c r="G31" s="670"/>
      <c r="H31" s="5"/>
      <c r="I31" s="733">
        <f>IF(Consolidado_A!$G$133&gt;=7.6%,-(0.0165+0.076)*G31,0)</f>
        <v>0</v>
      </c>
      <c r="J31" s="653"/>
      <c r="K31" s="671">
        <f t="shared" si="0"/>
        <v>0</v>
      </c>
      <c r="L31" s="653"/>
      <c r="M31" s="653"/>
    </row>
    <row r="32" spans="1:13" hidden="1">
      <c r="A32" s="447"/>
      <c r="B32" s="518">
        <v>21</v>
      </c>
      <c r="C32" s="666"/>
      <c r="D32" s="9"/>
      <c r="E32" s="668"/>
      <c r="F32" s="5"/>
      <c r="G32" s="670"/>
      <c r="H32" s="5"/>
      <c r="I32" s="733">
        <f>IF(Consolidado_A!$G$133&gt;=7.6%,-(0.0165+0.076)*G32,0)</f>
        <v>0</v>
      </c>
      <c r="J32" s="653"/>
      <c r="K32" s="671">
        <f t="shared" si="0"/>
        <v>0</v>
      </c>
      <c r="L32" s="653"/>
      <c r="M32" s="653"/>
    </row>
    <row r="33" spans="1:13" hidden="1">
      <c r="A33" s="447"/>
      <c r="B33" s="518">
        <v>22</v>
      </c>
      <c r="C33" s="666"/>
      <c r="D33" s="9"/>
      <c r="E33" s="668"/>
      <c r="F33" s="5"/>
      <c r="G33" s="670"/>
      <c r="H33" s="5"/>
      <c r="I33" s="733">
        <f>IF(Consolidado_A!$G$133&gt;=7.6%,-(0.0165+0.076)*G33,0)</f>
        <v>0</v>
      </c>
      <c r="J33" s="653"/>
      <c r="K33" s="671">
        <f t="shared" si="0"/>
        <v>0</v>
      </c>
      <c r="L33" s="653"/>
      <c r="M33" s="653"/>
    </row>
    <row r="34" spans="1:13" hidden="1">
      <c r="A34" s="447"/>
      <c r="B34" s="518">
        <v>23</v>
      </c>
      <c r="C34" s="666"/>
      <c r="D34" s="9"/>
      <c r="E34" s="668"/>
      <c r="F34" s="5"/>
      <c r="G34" s="670"/>
      <c r="H34" s="5"/>
      <c r="I34" s="733">
        <f>IF(Consolidado_A!$G$133&gt;=7.6%,-(0.0165+0.076)*G34,0)</f>
        <v>0</v>
      </c>
      <c r="J34" s="653"/>
      <c r="K34" s="671">
        <f t="shared" si="0"/>
        <v>0</v>
      </c>
      <c r="L34" s="653"/>
      <c r="M34" s="653"/>
    </row>
    <row r="35" spans="1:13" hidden="1">
      <c r="A35" s="447"/>
      <c r="B35" s="518">
        <v>24</v>
      </c>
      <c r="C35" s="666"/>
      <c r="D35" s="9"/>
      <c r="E35" s="668"/>
      <c r="F35" s="5"/>
      <c r="G35" s="670"/>
      <c r="H35" s="5"/>
      <c r="I35" s="733">
        <f>IF(Consolidado_A!$G$133&gt;=7.6%,-(0.0165+0.076)*G35,0)</f>
        <v>0</v>
      </c>
      <c r="J35" s="653"/>
      <c r="K35" s="671">
        <f t="shared" si="0"/>
        <v>0</v>
      </c>
      <c r="L35" s="653"/>
      <c r="M35" s="653"/>
    </row>
    <row r="36" spans="1:13" hidden="1">
      <c r="A36" s="447"/>
      <c r="B36" s="518">
        <v>25</v>
      </c>
      <c r="C36" s="666"/>
      <c r="D36" s="9"/>
      <c r="E36" s="668"/>
      <c r="F36" s="5"/>
      <c r="G36" s="670"/>
      <c r="H36" s="5"/>
      <c r="I36" s="733">
        <f>IF(Consolidado_A!$G$133&gt;=7.6%,-(0.0165+0.076)*G36,0)</f>
        <v>0</v>
      </c>
      <c r="J36" s="653"/>
      <c r="K36" s="671">
        <f t="shared" si="0"/>
        <v>0</v>
      </c>
      <c r="L36" s="653"/>
      <c r="M36" s="653"/>
    </row>
    <row r="37" spans="1:13" hidden="1">
      <c r="A37" s="447"/>
      <c r="B37" s="518">
        <v>26</v>
      </c>
      <c r="C37" s="666"/>
      <c r="D37" s="9"/>
      <c r="E37" s="668"/>
      <c r="F37" s="5"/>
      <c r="G37" s="670"/>
      <c r="H37" s="5"/>
      <c r="I37" s="733">
        <f>IF(Consolidado_A!$G$133&gt;=7.6%,-(0.0165+0.076)*G37,0)</f>
        <v>0</v>
      </c>
      <c r="J37" s="653"/>
      <c r="K37" s="671">
        <f t="shared" si="0"/>
        <v>0</v>
      </c>
      <c r="L37" s="653"/>
      <c r="M37" s="653"/>
    </row>
    <row r="38" spans="1:13" hidden="1">
      <c r="A38" s="447"/>
      <c r="B38" s="518">
        <v>27</v>
      </c>
      <c r="C38" s="666"/>
      <c r="D38" s="9"/>
      <c r="E38" s="668"/>
      <c r="F38" s="5"/>
      <c r="G38" s="670"/>
      <c r="H38" s="5"/>
      <c r="I38" s="733">
        <f>IF(Consolidado_A!$G$133&gt;=7.6%,-(0.0165+0.076)*G38,0)</f>
        <v>0</v>
      </c>
      <c r="J38" s="653"/>
      <c r="K38" s="671">
        <f t="shared" si="0"/>
        <v>0</v>
      </c>
      <c r="L38" s="653"/>
      <c r="M38" s="653"/>
    </row>
    <row r="39" spans="1:13" hidden="1">
      <c r="A39" s="447"/>
      <c r="B39" s="518">
        <v>28</v>
      </c>
      <c r="C39" s="666"/>
      <c r="D39" s="9"/>
      <c r="E39" s="668"/>
      <c r="F39" s="5"/>
      <c r="G39" s="670"/>
      <c r="H39" s="5"/>
      <c r="I39" s="733">
        <f>IF(Consolidado_A!$G$133&gt;=7.6%,-(0.0165+0.076)*G39,0)</f>
        <v>0</v>
      </c>
      <c r="J39" s="653"/>
      <c r="K39" s="671">
        <f t="shared" si="0"/>
        <v>0</v>
      </c>
      <c r="L39" s="653"/>
      <c r="M39" s="653"/>
    </row>
    <row r="40" spans="1:13" hidden="1">
      <c r="A40" s="447"/>
      <c r="B40" s="518">
        <v>29</v>
      </c>
      <c r="C40" s="666"/>
      <c r="D40" s="9"/>
      <c r="E40" s="668"/>
      <c r="F40" s="5"/>
      <c r="G40" s="670"/>
      <c r="H40" s="5"/>
      <c r="I40" s="733">
        <f>IF(Consolidado_A!$G$133&gt;=7.6%,-(0.0165+0.076)*G40,0)</f>
        <v>0</v>
      </c>
      <c r="J40" s="653"/>
      <c r="K40" s="671">
        <f t="shared" si="0"/>
        <v>0</v>
      </c>
      <c r="L40" s="653"/>
      <c r="M40" s="653"/>
    </row>
    <row r="41" spans="1:13" hidden="1">
      <c r="A41" s="447"/>
      <c r="B41" s="518">
        <v>30</v>
      </c>
      <c r="C41" s="666"/>
      <c r="D41" s="9"/>
      <c r="E41" s="668"/>
      <c r="F41" s="5"/>
      <c r="G41" s="670"/>
      <c r="H41" s="5"/>
      <c r="I41" s="733">
        <f>IF(Consolidado_A!$G$133&gt;=7.6%,-(0.0165+0.076)*G41,0)</f>
        <v>0</v>
      </c>
      <c r="J41" s="653"/>
      <c r="K41" s="671">
        <f t="shared" si="0"/>
        <v>0</v>
      </c>
      <c r="L41" s="653"/>
      <c r="M41" s="653"/>
    </row>
    <row r="42" spans="1:13" hidden="1">
      <c r="A42" s="447"/>
      <c r="B42" s="518">
        <v>31</v>
      </c>
      <c r="C42" s="666"/>
      <c r="D42" s="9"/>
      <c r="E42" s="668"/>
      <c r="F42" s="5"/>
      <c r="G42" s="670"/>
      <c r="H42" s="5"/>
      <c r="I42" s="733">
        <f>IF(Consolidado_A!$G$133&gt;=7.6%,-(0.0165+0.076)*G42,0)</f>
        <v>0</v>
      </c>
      <c r="J42" s="653"/>
      <c r="K42" s="671">
        <f t="shared" si="0"/>
        <v>0</v>
      </c>
      <c r="L42" s="653"/>
      <c r="M42" s="653"/>
    </row>
    <row r="43" spans="1:13" hidden="1">
      <c r="A43" s="447"/>
      <c r="B43" s="518">
        <v>32</v>
      </c>
      <c r="C43" s="666"/>
      <c r="D43" s="9"/>
      <c r="E43" s="668"/>
      <c r="F43" s="5"/>
      <c r="G43" s="670"/>
      <c r="H43" s="5"/>
      <c r="I43" s="733">
        <f>IF(Consolidado_A!$G$133&gt;=7.6%,-(0.0165+0.076)*G43,0)</f>
        <v>0</v>
      </c>
      <c r="J43" s="653"/>
      <c r="K43" s="671">
        <f t="shared" si="0"/>
        <v>0</v>
      </c>
      <c r="L43" s="653"/>
      <c r="M43" s="653"/>
    </row>
    <row r="44" spans="1:13" hidden="1">
      <c r="A44" s="447"/>
      <c r="B44" s="518">
        <v>33</v>
      </c>
      <c r="C44" s="666"/>
      <c r="D44" s="9"/>
      <c r="E44" s="668"/>
      <c r="F44" s="5"/>
      <c r="G44" s="670"/>
      <c r="H44" s="5"/>
      <c r="I44" s="733">
        <f>IF(Consolidado_A!$G$133&gt;=7.6%,-(0.0165+0.076)*G44,0)</f>
        <v>0</v>
      </c>
      <c r="J44" s="653"/>
      <c r="K44" s="671">
        <f t="shared" ref="K44:K75" si="1">IF(D$6&gt;0,((G44+I44)*E44)/$D$6,0)</f>
        <v>0</v>
      </c>
      <c r="L44" s="653"/>
      <c r="M44" s="653"/>
    </row>
    <row r="45" spans="1:13" hidden="1">
      <c r="A45" s="447"/>
      <c r="B45" s="518">
        <v>34</v>
      </c>
      <c r="C45" s="666"/>
      <c r="D45" s="9"/>
      <c r="E45" s="668"/>
      <c r="F45" s="5"/>
      <c r="G45" s="670"/>
      <c r="H45" s="5"/>
      <c r="I45" s="733">
        <f>IF(Consolidado_A!$G$133&gt;=7.6%,-(0.0165+0.076)*G45,0)</f>
        <v>0</v>
      </c>
      <c r="J45" s="653"/>
      <c r="K45" s="671">
        <f t="shared" si="1"/>
        <v>0</v>
      </c>
      <c r="L45" s="653"/>
      <c r="M45" s="653"/>
    </row>
    <row r="46" spans="1:13" hidden="1">
      <c r="A46" s="447"/>
      <c r="B46" s="518">
        <v>35</v>
      </c>
      <c r="C46" s="666"/>
      <c r="D46" s="9"/>
      <c r="E46" s="668"/>
      <c r="F46" s="5"/>
      <c r="G46" s="670"/>
      <c r="H46" s="5"/>
      <c r="I46" s="733">
        <f>IF(Consolidado_A!$G$133&gt;=7.6%,-(0.0165+0.076)*G46,0)</f>
        <v>0</v>
      </c>
      <c r="J46" s="653"/>
      <c r="K46" s="671">
        <f t="shared" si="1"/>
        <v>0</v>
      </c>
      <c r="L46" s="653"/>
      <c r="M46" s="653"/>
    </row>
    <row r="47" spans="1:13" hidden="1">
      <c r="A47" s="447"/>
      <c r="B47" s="518">
        <v>36</v>
      </c>
      <c r="C47" s="666"/>
      <c r="D47" s="9"/>
      <c r="E47" s="668"/>
      <c r="F47" s="5"/>
      <c r="G47" s="670"/>
      <c r="H47" s="5"/>
      <c r="I47" s="733">
        <f>IF(Consolidado_A!$G$133&gt;=7.6%,-(0.0165+0.076)*G47,0)</f>
        <v>0</v>
      </c>
      <c r="J47" s="653"/>
      <c r="K47" s="671">
        <f t="shared" si="1"/>
        <v>0</v>
      </c>
      <c r="L47" s="653"/>
      <c r="M47" s="653"/>
    </row>
    <row r="48" spans="1:13" hidden="1">
      <c r="A48" s="447"/>
      <c r="B48" s="518">
        <v>37</v>
      </c>
      <c r="C48" s="666"/>
      <c r="D48" s="9"/>
      <c r="E48" s="668"/>
      <c r="F48" s="5"/>
      <c r="G48" s="670"/>
      <c r="H48" s="5"/>
      <c r="I48" s="733">
        <f>IF(Consolidado_A!$G$133&gt;=7.6%,-(0.0165+0.076)*G48,0)</f>
        <v>0</v>
      </c>
      <c r="J48" s="653"/>
      <c r="K48" s="671">
        <f t="shared" si="1"/>
        <v>0</v>
      </c>
      <c r="L48" s="653"/>
      <c r="M48" s="653"/>
    </row>
    <row r="49" spans="1:13" hidden="1">
      <c r="A49" s="447"/>
      <c r="B49" s="518">
        <v>38</v>
      </c>
      <c r="C49" s="666"/>
      <c r="D49" s="9"/>
      <c r="E49" s="668"/>
      <c r="F49" s="5"/>
      <c r="G49" s="670"/>
      <c r="H49" s="5"/>
      <c r="I49" s="733">
        <f>IF(Consolidado_A!$G$133&gt;=7.6%,-(0.0165+0.076)*G49,0)</f>
        <v>0</v>
      </c>
      <c r="J49" s="653"/>
      <c r="K49" s="671">
        <f t="shared" si="1"/>
        <v>0</v>
      </c>
      <c r="L49" s="653"/>
      <c r="M49" s="653"/>
    </row>
    <row r="50" spans="1:13" hidden="1">
      <c r="A50" s="447"/>
      <c r="B50" s="518">
        <v>39</v>
      </c>
      <c r="C50" s="666"/>
      <c r="D50" s="9"/>
      <c r="E50" s="668"/>
      <c r="F50" s="5"/>
      <c r="G50" s="670"/>
      <c r="H50" s="5"/>
      <c r="I50" s="733">
        <f>IF(Consolidado_A!$G$133&gt;=7.6%,-(0.0165+0.076)*G50,0)</f>
        <v>0</v>
      </c>
      <c r="J50" s="653"/>
      <c r="K50" s="671">
        <f t="shared" si="1"/>
        <v>0</v>
      </c>
      <c r="L50" s="653"/>
      <c r="M50" s="653"/>
    </row>
    <row r="51" spans="1:13" hidden="1">
      <c r="A51" s="447"/>
      <c r="B51" s="518">
        <v>40</v>
      </c>
      <c r="C51" s="666"/>
      <c r="D51" s="9"/>
      <c r="E51" s="668"/>
      <c r="F51" s="5"/>
      <c r="G51" s="670"/>
      <c r="H51" s="5"/>
      <c r="I51" s="733">
        <f>IF(Consolidado_A!$G$133&gt;=7.6%,-(0.0165+0.076)*G51,0)</f>
        <v>0</v>
      </c>
      <c r="J51" s="653"/>
      <c r="K51" s="671">
        <f t="shared" si="1"/>
        <v>0</v>
      </c>
      <c r="L51" s="653"/>
      <c r="M51" s="653"/>
    </row>
    <row r="52" spans="1:13" hidden="1">
      <c r="A52" s="447"/>
      <c r="B52" s="518">
        <v>41</v>
      </c>
      <c r="C52" s="666"/>
      <c r="D52" s="9"/>
      <c r="E52" s="668"/>
      <c r="F52" s="5"/>
      <c r="G52" s="670"/>
      <c r="H52" s="5"/>
      <c r="I52" s="733">
        <f>IF(Consolidado_A!$G$133&gt;=7.6%,-(0.0165+0.076)*G52,0)</f>
        <v>0</v>
      </c>
      <c r="J52" s="653"/>
      <c r="K52" s="671">
        <f t="shared" si="1"/>
        <v>0</v>
      </c>
      <c r="L52" s="653"/>
      <c r="M52" s="653"/>
    </row>
    <row r="53" spans="1:13" hidden="1">
      <c r="A53" s="447"/>
      <c r="B53" s="518">
        <v>42</v>
      </c>
      <c r="C53" s="666"/>
      <c r="D53" s="9"/>
      <c r="E53" s="668"/>
      <c r="F53" s="5"/>
      <c r="G53" s="670"/>
      <c r="H53" s="5"/>
      <c r="I53" s="733">
        <f>IF(Consolidado_A!$G$133&gt;=7.6%,-(0.0165+0.076)*G53,0)</f>
        <v>0</v>
      </c>
      <c r="J53" s="653"/>
      <c r="K53" s="671">
        <f t="shared" si="1"/>
        <v>0</v>
      </c>
      <c r="L53" s="653"/>
      <c r="M53" s="653"/>
    </row>
    <row r="54" spans="1:13" hidden="1">
      <c r="A54" s="447"/>
      <c r="B54" s="518">
        <v>43</v>
      </c>
      <c r="C54" s="666"/>
      <c r="D54" s="9"/>
      <c r="E54" s="668"/>
      <c r="F54" s="5"/>
      <c r="G54" s="670"/>
      <c r="H54" s="5"/>
      <c r="I54" s="733">
        <f>IF(Consolidado_A!$G$133&gt;=7.6%,-(0.0165+0.076)*G54,0)</f>
        <v>0</v>
      </c>
      <c r="J54" s="653"/>
      <c r="K54" s="671">
        <f t="shared" si="1"/>
        <v>0</v>
      </c>
      <c r="L54" s="653"/>
      <c r="M54" s="653"/>
    </row>
    <row r="55" spans="1:13" hidden="1">
      <c r="A55" s="447"/>
      <c r="B55" s="518">
        <v>44</v>
      </c>
      <c r="C55" s="666"/>
      <c r="D55" s="9"/>
      <c r="E55" s="668"/>
      <c r="F55" s="5"/>
      <c r="G55" s="670"/>
      <c r="H55" s="5"/>
      <c r="I55" s="733">
        <f>IF(Consolidado_A!$G$133&gt;=7.6%,-(0.0165+0.076)*G55,0)</f>
        <v>0</v>
      </c>
      <c r="J55" s="653"/>
      <c r="K55" s="671">
        <f t="shared" si="1"/>
        <v>0</v>
      </c>
      <c r="L55" s="653"/>
      <c r="M55" s="653"/>
    </row>
    <row r="56" spans="1:13" hidden="1">
      <c r="A56" s="447"/>
      <c r="B56" s="518">
        <v>45</v>
      </c>
      <c r="C56" s="666"/>
      <c r="D56" s="9"/>
      <c r="E56" s="668"/>
      <c r="F56" s="5"/>
      <c r="G56" s="670"/>
      <c r="H56" s="5"/>
      <c r="I56" s="733">
        <f>IF(Consolidado_A!$G$133&gt;=7.6%,-(0.0165+0.076)*G56,0)</f>
        <v>0</v>
      </c>
      <c r="J56" s="653"/>
      <c r="K56" s="671">
        <f t="shared" si="1"/>
        <v>0</v>
      </c>
      <c r="L56" s="653"/>
      <c r="M56" s="653"/>
    </row>
    <row r="57" spans="1:13" hidden="1">
      <c r="A57" s="447"/>
      <c r="B57" s="518">
        <v>46</v>
      </c>
      <c r="C57" s="666"/>
      <c r="D57" s="9"/>
      <c r="E57" s="668"/>
      <c r="F57" s="5"/>
      <c r="G57" s="670"/>
      <c r="H57" s="5"/>
      <c r="I57" s="733">
        <f>IF(Consolidado_A!$G$133&gt;=7.6%,-(0.0165+0.076)*G57,0)</f>
        <v>0</v>
      </c>
      <c r="J57" s="653"/>
      <c r="K57" s="671">
        <f t="shared" si="1"/>
        <v>0</v>
      </c>
      <c r="L57" s="653"/>
      <c r="M57" s="653"/>
    </row>
    <row r="58" spans="1:13" hidden="1">
      <c r="A58" s="447"/>
      <c r="B58" s="518">
        <v>47</v>
      </c>
      <c r="C58" s="666"/>
      <c r="D58" s="9"/>
      <c r="E58" s="668"/>
      <c r="F58" s="5"/>
      <c r="G58" s="670"/>
      <c r="H58" s="5"/>
      <c r="I58" s="733">
        <f>IF(Consolidado_A!$G$133&gt;=7.6%,-(0.0165+0.076)*G58,0)</f>
        <v>0</v>
      </c>
      <c r="J58" s="653"/>
      <c r="K58" s="671">
        <f t="shared" si="1"/>
        <v>0</v>
      </c>
      <c r="L58" s="653"/>
      <c r="M58" s="653"/>
    </row>
    <row r="59" spans="1:13" hidden="1">
      <c r="A59" s="447"/>
      <c r="B59" s="518">
        <v>48</v>
      </c>
      <c r="C59" s="666"/>
      <c r="D59" s="9"/>
      <c r="E59" s="668"/>
      <c r="F59" s="5"/>
      <c r="G59" s="670"/>
      <c r="H59" s="5"/>
      <c r="I59" s="733">
        <f>IF(Consolidado_A!$G$133&gt;=7.6%,-(0.0165+0.076)*G59,0)</f>
        <v>0</v>
      </c>
      <c r="J59" s="653"/>
      <c r="K59" s="671">
        <f t="shared" si="1"/>
        <v>0</v>
      </c>
      <c r="L59" s="653"/>
      <c r="M59" s="653"/>
    </row>
    <row r="60" spans="1:13" hidden="1">
      <c r="A60" s="447"/>
      <c r="B60" s="518">
        <v>49</v>
      </c>
      <c r="C60" s="666"/>
      <c r="D60" s="9"/>
      <c r="E60" s="668"/>
      <c r="F60" s="5"/>
      <c r="G60" s="670"/>
      <c r="H60" s="5"/>
      <c r="I60" s="733">
        <f>IF(Consolidado_A!$G$133&gt;=7.6%,-(0.0165+0.076)*G60,0)</f>
        <v>0</v>
      </c>
      <c r="J60" s="653"/>
      <c r="K60" s="671">
        <f t="shared" si="1"/>
        <v>0</v>
      </c>
      <c r="L60" s="653"/>
      <c r="M60" s="653"/>
    </row>
    <row r="61" spans="1:13" hidden="1">
      <c r="A61" s="447"/>
      <c r="B61" s="518">
        <v>50</v>
      </c>
      <c r="C61" s="666"/>
      <c r="D61" s="9"/>
      <c r="E61" s="668"/>
      <c r="F61" s="5"/>
      <c r="G61" s="670"/>
      <c r="H61" s="5"/>
      <c r="I61" s="733">
        <f>IF(Consolidado_A!$G$133&gt;=7.6%,-(0.0165+0.076)*G61,0)</f>
        <v>0</v>
      </c>
      <c r="J61" s="653"/>
      <c r="K61" s="671">
        <f t="shared" si="1"/>
        <v>0</v>
      </c>
      <c r="L61" s="653"/>
      <c r="M61" s="653"/>
    </row>
    <row r="62" spans="1:13" hidden="1">
      <c r="A62" s="447"/>
      <c r="B62" s="518">
        <v>51</v>
      </c>
      <c r="C62" s="666"/>
      <c r="D62" s="9"/>
      <c r="E62" s="668"/>
      <c r="F62" s="5"/>
      <c r="G62" s="670"/>
      <c r="H62" s="5"/>
      <c r="I62" s="733">
        <f>IF(Consolidado_A!$G$133&gt;=7.6%,-(0.0165+0.076)*G62,0)</f>
        <v>0</v>
      </c>
      <c r="J62" s="653"/>
      <c r="K62" s="671">
        <f t="shared" si="1"/>
        <v>0</v>
      </c>
      <c r="L62" s="653"/>
      <c r="M62" s="653"/>
    </row>
    <row r="63" spans="1:13" hidden="1">
      <c r="A63" s="447"/>
      <c r="B63" s="518">
        <v>52</v>
      </c>
      <c r="C63" s="666"/>
      <c r="D63" s="9"/>
      <c r="E63" s="668"/>
      <c r="F63" s="5"/>
      <c r="G63" s="670"/>
      <c r="H63" s="5"/>
      <c r="I63" s="733">
        <f>IF(Consolidado_A!$G$133&gt;=7.6%,-(0.0165+0.076)*G63,0)</f>
        <v>0</v>
      </c>
      <c r="J63" s="653"/>
      <c r="K63" s="671">
        <f t="shared" si="1"/>
        <v>0</v>
      </c>
      <c r="L63" s="653"/>
      <c r="M63" s="653"/>
    </row>
    <row r="64" spans="1:13" hidden="1">
      <c r="A64" s="447"/>
      <c r="B64" s="518">
        <v>53</v>
      </c>
      <c r="C64" s="666"/>
      <c r="D64" s="9"/>
      <c r="E64" s="668"/>
      <c r="F64" s="5"/>
      <c r="G64" s="670"/>
      <c r="H64" s="5"/>
      <c r="I64" s="733">
        <f>IF(Consolidado_A!$G$133&gt;=7.6%,-(0.0165+0.076)*G64,0)</f>
        <v>0</v>
      </c>
      <c r="J64" s="653"/>
      <c r="K64" s="671">
        <f t="shared" si="1"/>
        <v>0</v>
      </c>
      <c r="L64" s="653"/>
      <c r="M64" s="653"/>
    </row>
    <row r="65" spans="1:13" hidden="1">
      <c r="A65" s="447"/>
      <c r="B65" s="518">
        <v>54</v>
      </c>
      <c r="C65" s="666"/>
      <c r="D65" s="9"/>
      <c r="E65" s="668"/>
      <c r="F65" s="5"/>
      <c r="G65" s="670"/>
      <c r="H65" s="5"/>
      <c r="I65" s="733">
        <f>IF(Consolidado_A!$G$133&gt;=7.6%,-(0.0165+0.076)*G65,0)</f>
        <v>0</v>
      </c>
      <c r="J65" s="653"/>
      <c r="K65" s="671">
        <f t="shared" si="1"/>
        <v>0</v>
      </c>
      <c r="L65" s="653"/>
      <c r="M65" s="653"/>
    </row>
    <row r="66" spans="1:13" hidden="1">
      <c r="A66" s="447"/>
      <c r="B66" s="518">
        <v>55</v>
      </c>
      <c r="C66" s="666"/>
      <c r="D66" s="9"/>
      <c r="E66" s="668"/>
      <c r="F66" s="5"/>
      <c r="G66" s="670"/>
      <c r="H66" s="5"/>
      <c r="I66" s="733">
        <f>IF(Consolidado_A!$G$133&gt;=7.6%,-(0.0165+0.076)*G66,0)</f>
        <v>0</v>
      </c>
      <c r="J66" s="653"/>
      <c r="K66" s="671">
        <f t="shared" si="1"/>
        <v>0</v>
      </c>
      <c r="L66" s="653"/>
      <c r="M66" s="653"/>
    </row>
    <row r="67" spans="1:13" hidden="1">
      <c r="A67" s="447"/>
      <c r="B67" s="518">
        <v>56</v>
      </c>
      <c r="C67" s="666"/>
      <c r="D67" s="9"/>
      <c r="E67" s="668"/>
      <c r="F67" s="5"/>
      <c r="G67" s="670"/>
      <c r="H67" s="5"/>
      <c r="I67" s="733">
        <f>IF(Consolidado_A!$G$133&gt;=7.6%,-(0.0165+0.076)*G67,0)</f>
        <v>0</v>
      </c>
      <c r="J67" s="653"/>
      <c r="K67" s="671">
        <f t="shared" si="1"/>
        <v>0</v>
      </c>
      <c r="L67" s="653"/>
      <c r="M67" s="653"/>
    </row>
    <row r="68" spans="1:13" hidden="1">
      <c r="A68" s="447"/>
      <c r="B68" s="518">
        <v>57</v>
      </c>
      <c r="C68" s="666"/>
      <c r="D68" s="9"/>
      <c r="E68" s="668"/>
      <c r="F68" s="5"/>
      <c r="G68" s="670"/>
      <c r="H68" s="5"/>
      <c r="I68" s="733">
        <f>IF(Consolidado_A!$G$133&gt;=7.6%,-(0.0165+0.076)*G68,0)</f>
        <v>0</v>
      </c>
      <c r="J68" s="653"/>
      <c r="K68" s="671">
        <f t="shared" si="1"/>
        <v>0</v>
      </c>
      <c r="L68" s="653"/>
      <c r="M68" s="653"/>
    </row>
    <row r="69" spans="1:13" hidden="1">
      <c r="A69" s="447"/>
      <c r="B69" s="518">
        <v>58</v>
      </c>
      <c r="C69" s="666"/>
      <c r="D69" s="9"/>
      <c r="E69" s="668"/>
      <c r="F69" s="5"/>
      <c r="G69" s="670"/>
      <c r="H69" s="5"/>
      <c r="I69" s="733">
        <f>IF(Consolidado_A!$G$133&gt;=7.6%,-(0.0165+0.076)*G69,0)</f>
        <v>0</v>
      </c>
      <c r="J69" s="653"/>
      <c r="K69" s="671">
        <f t="shared" si="1"/>
        <v>0</v>
      </c>
      <c r="L69" s="653"/>
      <c r="M69" s="653"/>
    </row>
    <row r="70" spans="1:13" hidden="1">
      <c r="A70" s="447"/>
      <c r="B70" s="518">
        <v>59</v>
      </c>
      <c r="C70" s="666"/>
      <c r="D70" s="9"/>
      <c r="E70" s="668"/>
      <c r="F70" s="5"/>
      <c r="G70" s="670"/>
      <c r="H70" s="5"/>
      <c r="I70" s="733">
        <f>IF(Consolidado_A!$G$133&gt;=7.6%,-(0.0165+0.076)*G70,0)</f>
        <v>0</v>
      </c>
      <c r="J70" s="653"/>
      <c r="K70" s="671">
        <f t="shared" si="1"/>
        <v>0</v>
      </c>
      <c r="L70" s="653"/>
      <c r="M70" s="653"/>
    </row>
    <row r="71" spans="1:13" hidden="1">
      <c r="A71" s="447"/>
      <c r="B71" s="518">
        <v>60</v>
      </c>
      <c r="C71" s="666"/>
      <c r="D71" s="9"/>
      <c r="E71" s="668"/>
      <c r="F71" s="5"/>
      <c r="G71" s="670"/>
      <c r="H71" s="5"/>
      <c r="I71" s="733">
        <f>IF(Consolidado_A!$G$133&gt;=7.6%,-(0.0165+0.076)*G71,0)</f>
        <v>0</v>
      </c>
      <c r="J71" s="653"/>
      <c r="K71" s="671">
        <f t="shared" si="1"/>
        <v>0</v>
      </c>
      <c r="L71" s="653"/>
      <c r="M71" s="653"/>
    </row>
    <row r="72" spans="1:13" hidden="1">
      <c r="A72" s="447"/>
      <c r="B72" s="518">
        <v>61</v>
      </c>
      <c r="C72" s="666"/>
      <c r="D72" s="9"/>
      <c r="E72" s="668"/>
      <c r="F72" s="5"/>
      <c r="G72" s="670"/>
      <c r="H72" s="5"/>
      <c r="I72" s="733">
        <f>IF(Consolidado_A!$G$133&gt;=7.6%,-(0.0165+0.076)*G72,0)</f>
        <v>0</v>
      </c>
      <c r="J72" s="653"/>
      <c r="K72" s="671">
        <f t="shared" si="1"/>
        <v>0</v>
      </c>
      <c r="L72" s="653"/>
      <c r="M72" s="653"/>
    </row>
    <row r="73" spans="1:13" hidden="1">
      <c r="A73" s="447"/>
      <c r="B73" s="518">
        <v>62</v>
      </c>
      <c r="C73" s="666"/>
      <c r="D73" s="9"/>
      <c r="E73" s="668"/>
      <c r="F73" s="5"/>
      <c r="G73" s="670"/>
      <c r="H73" s="5"/>
      <c r="I73" s="733">
        <f>IF(Consolidado_A!$G$133&gt;=7.6%,-(0.0165+0.076)*G73,0)</f>
        <v>0</v>
      </c>
      <c r="J73" s="653"/>
      <c r="K73" s="671">
        <f t="shared" si="1"/>
        <v>0</v>
      </c>
      <c r="L73" s="653"/>
      <c r="M73" s="653"/>
    </row>
    <row r="74" spans="1:13" hidden="1">
      <c r="A74" s="447"/>
      <c r="B74" s="518">
        <v>63</v>
      </c>
      <c r="C74" s="666"/>
      <c r="D74" s="9"/>
      <c r="E74" s="668"/>
      <c r="F74" s="5"/>
      <c r="G74" s="670"/>
      <c r="H74" s="5"/>
      <c r="I74" s="733">
        <f>IF(Consolidado_A!$G$133&gt;=7.6%,-(0.0165+0.076)*G74,0)</f>
        <v>0</v>
      </c>
      <c r="J74" s="653"/>
      <c r="K74" s="671">
        <f t="shared" si="1"/>
        <v>0</v>
      </c>
      <c r="L74" s="653"/>
      <c r="M74" s="653"/>
    </row>
    <row r="75" spans="1:13" hidden="1">
      <c r="A75" s="447"/>
      <c r="B75" s="518">
        <v>64</v>
      </c>
      <c r="C75" s="666"/>
      <c r="D75" s="9"/>
      <c r="E75" s="668"/>
      <c r="F75" s="5"/>
      <c r="G75" s="670"/>
      <c r="H75" s="5"/>
      <c r="I75" s="733">
        <f>IF(Consolidado_A!$G$133&gt;=7.6%,-(0.0165+0.076)*G75,0)</f>
        <v>0</v>
      </c>
      <c r="J75" s="653"/>
      <c r="K75" s="671">
        <f t="shared" si="1"/>
        <v>0</v>
      </c>
      <c r="L75" s="653"/>
      <c r="M75" s="653"/>
    </row>
    <row r="76" spans="1:13" hidden="1">
      <c r="A76" s="447"/>
      <c r="B76" s="518">
        <v>65</v>
      </c>
      <c r="C76" s="666"/>
      <c r="D76" s="9"/>
      <c r="E76" s="668"/>
      <c r="F76" s="5"/>
      <c r="G76" s="670"/>
      <c r="H76" s="5"/>
      <c r="I76" s="733">
        <f>IF(Consolidado_A!$G$133&gt;=7.6%,-(0.0165+0.076)*G76,0)</f>
        <v>0</v>
      </c>
      <c r="J76" s="653"/>
      <c r="K76" s="671">
        <f t="shared" ref="K76:K89" si="2">IF(D$6&gt;0,((G76+I76)*E76)/$D$6,0)</f>
        <v>0</v>
      </c>
      <c r="L76" s="653"/>
      <c r="M76" s="653"/>
    </row>
    <row r="77" spans="1:13" hidden="1">
      <c r="A77" s="447"/>
      <c r="B77" s="518">
        <v>66</v>
      </c>
      <c r="C77" s="666"/>
      <c r="D77" s="9"/>
      <c r="E77" s="668"/>
      <c r="F77" s="5"/>
      <c r="G77" s="670"/>
      <c r="H77" s="5"/>
      <c r="I77" s="733">
        <f>IF(Consolidado_A!$G$133&gt;=7.6%,-(0.0165+0.076)*G77,0)</f>
        <v>0</v>
      </c>
      <c r="J77" s="653"/>
      <c r="K77" s="671">
        <f t="shared" si="2"/>
        <v>0</v>
      </c>
      <c r="L77" s="653"/>
      <c r="M77" s="653"/>
    </row>
    <row r="78" spans="1:13" hidden="1">
      <c r="A78" s="447"/>
      <c r="B78" s="518">
        <v>67</v>
      </c>
      <c r="C78" s="666"/>
      <c r="D78" s="9"/>
      <c r="E78" s="668"/>
      <c r="F78" s="5"/>
      <c r="G78" s="670"/>
      <c r="H78" s="5"/>
      <c r="I78" s="733">
        <f>IF(Consolidado_A!$G$133&gt;=7.6%,-(0.0165+0.076)*G78,0)</f>
        <v>0</v>
      </c>
      <c r="J78" s="653"/>
      <c r="K78" s="671">
        <f t="shared" si="2"/>
        <v>0</v>
      </c>
      <c r="L78" s="653"/>
      <c r="M78" s="653"/>
    </row>
    <row r="79" spans="1:13" hidden="1">
      <c r="A79" s="447"/>
      <c r="B79" s="518">
        <v>68</v>
      </c>
      <c r="C79" s="666"/>
      <c r="D79" s="9"/>
      <c r="E79" s="668"/>
      <c r="F79" s="5"/>
      <c r="G79" s="670"/>
      <c r="H79" s="5"/>
      <c r="I79" s="733">
        <f>IF(Consolidado_A!$G$133&gt;=7.6%,-(0.0165+0.076)*G79,0)</f>
        <v>0</v>
      </c>
      <c r="J79" s="653"/>
      <c r="K79" s="671">
        <f t="shared" si="2"/>
        <v>0</v>
      </c>
      <c r="L79" s="653"/>
      <c r="M79" s="653"/>
    </row>
    <row r="80" spans="1:13" hidden="1">
      <c r="A80" s="447"/>
      <c r="B80" s="518">
        <v>69</v>
      </c>
      <c r="C80" s="666"/>
      <c r="D80" s="9"/>
      <c r="E80" s="668"/>
      <c r="F80" s="5"/>
      <c r="G80" s="670"/>
      <c r="H80" s="5"/>
      <c r="I80" s="733">
        <f>IF(Consolidado_A!$G$133&gt;=7.6%,-(0.0165+0.076)*G80,0)</f>
        <v>0</v>
      </c>
      <c r="J80" s="653"/>
      <c r="K80" s="671">
        <f t="shared" si="2"/>
        <v>0</v>
      </c>
      <c r="L80" s="653"/>
      <c r="M80" s="653"/>
    </row>
    <row r="81" spans="1:13" hidden="1">
      <c r="A81" s="447"/>
      <c r="B81" s="518">
        <v>70</v>
      </c>
      <c r="C81" s="666"/>
      <c r="D81" s="9"/>
      <c r="E81" s="668"/>
      <c r="F81" s="5"/>
      <c r="G81" s="670"/>
      <c r="H81" s="5"/>
      <c r="I81" s="733">
        <f>IF(Consolidado_A!$G$133&gt;=7.6%,-(0.0165+0.076)*G81,0)</f>
        <v>0</v>
      </c>
      <c r="J81" s="653"/>
      <c r="K81" s="671">
        <f t="shared" si="2"/>
        <v>0</v>
      </c>
      <c r="L81" s="653"/>
      <c r="M81" s="653"/>
    </row>
    <row r="82" spans="1:13" hidden="1">
      <c r="A82" s="447"/>
      <c r="B82" s="518">
        <v>71</v>
      </c>
      <c r="C82" s="666"/>
      <c r="D82" s="9"/>
      <c r="E82" s="668"/>
      <c r="F82" s="5"/>
      <c r="G82" s="670"/>
      <c r="H82" s="5"/>
      <c r="I82" s="733">
        <f>IF(Consolidado_A!$G$133&gt;=7.6%,-(0.0165+0.076)*G82,0)</f>
        <v>0</v>
      </c>
      <c r="J82" s="653"/>
      <c r="K82" s="671">
        <f t="shared" si="2"/>
        <v>0</v>
      </c>
      <c r="L82" s="653"/>
      <c r="M82" s="653"/>
    </row>
    <row r="83" spans="1:13" hidden="1">
      <c r="A83" s="447"/>
      <c r="B83" s="518">
        <v>72</v>
      </c>
      <c r="C83" s="666"/>
      <c r="D83" s="9"/>
      <c r="E83" s="668"/>
      <c r="F83" s="5"/>
      <c r="G83" s="670"/>
      <c r="H83" s="5"/>
      <c r="I83" s="733">
        <f>IF(Consolidado_A!$G$133&gt;=7.6%,-(0.0165+0.076)*G83,0)</f>
        <v>0</v>
      </c>
      <c r="J83" s="653"/>
      <c r="K83" s="671">
        <f t="shared" si="2"/>
        <v>0</v>
      </c>
      <c r="L83" s="653"/>
      <c r="M83" s="653"/>
    </row>
    <row r="84" spans="1:13" hidden="1">
      <c r="A84" s="447"/>
      <c r="B84" s="518">
        <v>73</v>
      </c>
      <c r="C84" s="666"/>
      <c r="D84" s="9"/>
      <c r="E84" s="668"/>
      <c r="F84" s="5"/>
      <c r="G84" s="670"/>
      <c r="H84" s="5"/>
      <c r="I84" s="733">
        <f>IF(Consolidado_A!$G$133&gt;=7.6%,-(0.0165+0.076)*G84,0)</f>
        <v>0</v>
      </c>
      <c r="J84" s="653"/>
      <c r="K84" s="671">
        <f t="shared" si="2"/>
        <v>0</v>
      </c>
      <c r="L84" s="653"/>
      <c r="M84" s="653"/>
    </row>
    <row r="85" spans="1:13" hidden="1">
      <c r="A85" s="447"/>
      <c r="B85" s="518">
        <v>74</v>
      </c>
      <c r="C85" s="666"/>
      <c r="D85" s="9"/>
      <c r="E85" s="668"/>
      <c r="F85" s="5"/>
      <c r="G85" s="670"/>
      <c r="H85" s="5"/>
      <c r="I85" s="733">
        <f>IF(Consolidado_A!$G$133&gt;=7.6%,-(0.0165+0.076)*G85,0)</f>
        <v>0</v>
      </c>
      <c r="J85" s="653"/>
      <c r="K85" s="671">
        <f t="shared" si="2"/>
        <v>0</v>
      </c>
      <c r="L85" s="653"/>
      <c r="M85" s="653"/>
    </row>
    <row r="86" spans="1:13" hidden="1">
      <c r="A86" s="447"/>
      <c r="B86" s="518">
        <v>75</v>
      </c>
      <c r="C86" s="666"/>
      <c r="D86" s="9"/>
      <c r="E86" s="668"/>
      <c r="F86" s="5"/>
      <c r="G86" s="670"/>
      <c r="H86" s="5"/>
      <c r="I86" s="733">
        <f>IF(Consolidado_A!$G$133&gt;=7.6%,-(0.0165+0.076)*G86,0)</f>
        <v>0</v>
      </c>
      <c r="J86" s="653"/>
      <c r="K86" s="671">
        <f t="shared" si="2"/>
        <v>0</v>
      </c>
      <c r="L86" s="653"/>
      <c r="M86" s="653"/>
    </row>
    <row r="87" spans="1:13" hidden="1">
      <c r="A87" s="447"/>
      <c r="B87" s="518">
        <v>76</v>
      </c>
      <c r="C87" s="666"/>
      <c r="D87" s="9"/>
      <c r="E87" s="668"/>
      <c r="F87" s="5"/>
      <c r="G87" s="670"/>
      <c r="H87" s="5"/>
      <c r="I87" s="733">
        <f>IF(Consolidado_A!$G$133&gt;=7.6%,-(0.0165+0.076)*G87,0)</f>
        <v>0</v>
      </c>
      <c r="J87" s="653"/>
      <c r="K87" s="671">
        <f t="shared" si="2"/>
        <v>0</v>
      </c>
      <c r="L87" s="653"/>
      <c r="M87" s="653"/>
    </row>
    <row r="88" spans="1:13" hidden="1">
      <c r="A88" s="447"/>
      <c r="B88" s="518">
        <v>77</v>
      </c>
      <c r="C88" s="666"/>
      <c r="D88" s="9"/>
      <c r="E88" s="668"/>
      <c r="F88" s="5"/>
      <c r="G88" s="670"/>
      <c r="H88" s="5"/>
      <c r="I88" s="733">
        <f>IF(Consolidado_A!$G$133&gt;=7.6%,-(0.0165+0.076)*G88,0)</f>
        <v>0</v>
      </c>
      <c r="J88" s="653"/>
      <c r="K88" s="671">
        <f t="shared" si="2"/>
        <v>0</v>
      </c>
      <c r="L88" s="653"/>
      <c r="M88" s="653"/>
    </row>
    <row r="89" spans="1:13" ht="13.5" thickBot="1">
      <c r="A89" s="447"/>
      <c r="B89" s="518">
        <v>78</v>
      </c>
      <c r="C89" s="667"/>
      <c r="D89" s="9"/>
      <c r="E89" s="669"/>
      <c r="F89" s="5"/>
      <c r="G89" s="601"/>
      <c r="H89" s="5"/>
      <c r="I89" s="601">
        <f>IF(Consolidado_A!$G$133&gt;=7.6%,-(0.0165+0.076)*G89,0)</f>
        <v>0</v>
      </c>
      <c r="J89" s="653"/>
      <c r="K89" s="672">
        <f t="shared" si="2"/>
        <v>0</v>
      </c>
      <c r="L89" s="653"/>
      <c r="M89" s="653"/>
    </row>
    <row r="90" spans="1:13" ht="15" customHeight="1">
      <c r="A90" s="447"/>
      <c r="B90" s="518"/>
      <c r="C90" s="651"/>
      <c r="D90" s="9"/>
      <c r="E90" s="8"/>
      <c r="F90" s="5"/>
      <c r="G90" s="5"/>
      <c r="H90" s="5"/>
      <c r="I90" s="5"/>
      <c r="J90" s="653"/>
      <c r="K90" s="5"/>
      <c r="L90" s="653"/>
      <c r="M90" s="653"/>
    </row>
    <row r="91" spans="1:13">
      <c r="A91" s="653"/>
      <c r="B91" s="653"/>
      <c r="C91" s="664"/>
      <c r="D91" s="653"/>
      <c r="E91" s="653"/>
      <c r="F91" s="653"/>
      <c r="G91" s="653"/>
      <c r="H91" s="653"/>
      <c r="I91" s="653"/>
      <c r="J91" s="653"/>
      <c r="K91" s="653"/>
      <c r="L91" s="653"/>
      <c r="M91" s="653"/>
    </row>
    <row r="92" spans="1:13">
      <c r="A92" s="653"/>
      <c r="B92" s="653"/>
      <c r="C92" s="664"/>
      <c r="D92" s="653"/>
      <c r="E92" s="653"/>
      <c r="F92" s="653"/>
      <c r="G92" s="653"/>
      <c r="H92" s="653"/>
      <c r="I92" s="653"/>
      <c r="J92" s="653"/>
      <c r="K92" s="653"/>
      <c r="L92" s="653"/>
      <c r="M92" s="653"/>
    </row>
    <row r="93" spans="1:13">
      <c r="A93" s="653"/>
      <c r="B93" s="653"/>
      <c r="C93" s="664"/>
      <c r="D93" s="653"/>
      <c r="E93" s="653"/>
      <c r="F93" s="653"/>
      <c r="G93" s="653"/>
      <c r="H93" s="653"/>
      <c r="I93" s="653"/>
      <c r="J93" s="653"/>
      <c r="K93" s="653"/>
      <c r="L93" s="653"/>
      <c r="M93" s="653"/>
    </row>
    <row r="94" spans="1:13">
      <c r="A94" s="653"/>
      <c r="B94" s="653"/>
      <c r="C94" s="664"/>
      <c r="D94" s="653"/>
      <c r="E94" s="653"/>
      <c r="F94" s="653"/>
      <c r="G94" s="653"/>
      <c r="H94" s="653"/>
      <c r="I94" s="653"/>
      <c r="J94" s="653"/>
      <c r="K94" s="653"/>
      <c r="L94" s="653"/>
      <c r="M94" s="653"/>
    </row>
  </sheetData>
  <sheetProtection password="CADB" sheet="1" objects="1" scenarios="1" formatCells="0" formatColumns="0" formatRows="0"/>
  <mergeCells count="2">
    <mergeCell ref="B4:K4"/>
    <mergeCell ref="D6:F6"/>
  </mergeCells>
  <phoneticPr fontId="31" type="noConversion"/>
  <printOptions horizontalCentered="1"/>
  <pageMargins left="0.6692913385826772" right="0.47244094488188981" top="0.78740157480314965" bottom="0.98425196850393704" header="0.51181102362204722" footer="0.51181102362204722"/>
  <pageSetup paperSize="9" scale="90" orientation="portrait" blackAndWhite="1" r:id="rId1"/>
  <headerFooter alignWithMargins="0">
    <oddFooter>&amp;R&amp;F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 enableFormatConditionsCalculation="0">
    <tabColor indexed="18"/>
    <pageSetUpPr fitToPage="1"/>
  </sheetPr>
  <dimension ref="C1:J60"/>
  <sheetViews>
    <sheetView showGridLines="0" showZeros="0" workbookViewId="0"/>
  </sheetViews>
  <sheetFormatPr defaultRowHeight="12" customHeight="1"/>
  <cols>
    <col min="1" max="1" width="4.85546875" style="214" customWidth="1"/>
    <col min="2" max="2" width="2.5703125" style="214" customWidth="1"/>
    <col min="3" max="3" width="6.28515625" style="214" customWidth="1"/>
    <col min="4" max="4" width="69.7109375" style="214" customWidth="1"/>
    <col min="5" max="5" width="11.85546875" style="214" customWidth="1"/>
    <col min="6" max="6" width="11.7109375" style="215" customWidth="1"/>
    <col min="7" max="7" width="1.28515625" style="215" customWidth="1"/>
    <col min="8" max="8" width="3.5703125" style="214" hidden="1" customWidth="1"/>
    <col min="9" max="9" width="17" style="216" customWidth="1"/>
    <col min="10" max="10" width="2.28515625" style="217" customWidth="1"/>
    <col min="11" max="16384" width="9.140625" style="214"/>
  </cols>
  <sheetData>
    <row r="1" spans="3:10" ht="6.75" customHeight="1"/>
    <row r="2" spans="3:10" ht="15" customHeight="1">
      <c r="F2" s="214"/>
      <c r="G2" s="214"/>
      <c r="I2" s="214"/>
    </row>
    <row r="3" spans="3:10" ht="8.25" customHeight="1"/>
    <row r="4" spans="3:10" ht="15.75" customHeight="1" thickBot="1">
      <c r="C4" s="1093" t="s">
        <v>101</v>
      </c>
      <c r="D4" s="1094"/>
      <c r="E4" s="1094"/>
      <c r="F4" s="1099"/>
      <c r="G4" s="218"/>
      <c r="H4" s="218"/>
      <c r="I4" s="564" t="s">
        <v>182</v>
      </c>
    </row>
    <row r="5" spans="3:10" ht="6" customHeight="1">
      <c r="I5" s="565"/>
    </row>
    <row r="6" spans="3:10" ht="21" customHeight="1" thickBot="1">
      <c r="C6" s="1093" t="s">
        <v>49</v>
      </c>
      <c r="D6" s="1094"/>
      <c r="E6" s="1094"/>
      <c r="F6" s="1095"/>
      <c r="G6" s="219"/>
      <c r="I6" s="566" t="s">
        <v>194</v>
      </c>
    </row>
    <row r="7" spans="3:10" ht="3.75" customHeight="1">
      <c r="C7" s="218"/>
      <c r="D7" s="218"/>
      <c r="E7" s="218"/>
      <c r="F7" s="220"/>
      <c r="G7" s="220"/>
      <c r="I7" s="567"/>
    </row>
    <row r="8" spans="3:10" ht="12.75" customHeight="1">
      <c r="C8" s="378">
        <v>1</v>
      </c>
      <c r="D8" s="378" t="s">
        <v>50</v>
      </c>
      <c r="F8" s="897">
        <v>0.2</v>
      </c>
      <c r="G8" s="222"/>
      <c r="I8" s="568">
        <v>0.2</v>
      </c>
      <c r="J8" s="223"/>
    </row>
    <row r="9" spans="3:10" ht="12.75" customHeight="1">
      <c r="C9" s="378">
        <v>2</v>
      </c>
      <c r="D9" s="378" t="s">
        <v>51</v>
      </c>
      <c r="F9" s="897">
        <v>1.4999999999999999E-2</v>
      </c>
      <c r="G9" s="222"/>
      <c r="I9" s="568">
        <v>1.4999999999999999E-2</v>
      </c>
      <c r="J9" s="223"/>
    </row>
    <row r="10" spans="3:10" ht="12.75" customHeight="1">
      <c r="C10" s="378">
        <v>3</v>
      </c>
      <c r="D10" s="378" t="s">
        <v>52</v>
      </c>
      <c r="F10" s="897">
        <v>0.01</v>
      </c>
      <c r="G10" s="222"/>
      <c r="I10" s="568">
        <v>0.01</v>
      </c>
      <c r="J10" s="223"/>
    </row>
    <row r="11" spans="3:10" ht="12.75" customHeight="1">
      <c r="C11" s="378">
        <v>4</v>
      </c>
      <c r="D11" s="378" t="s">
        <v>48</v>
      </c>
      <c r="F11" s="897">
        <v>2E-3</v>
      </c>
      <c r="G11" s="222"/>
      <c r="I11" s="568">
        <v>2E-3</v>
      </c>
      <c r="J11" s="223"/>
    </row>
    <row r="12" spans="3:10" ht="12.75" customHeight="1">
      <c r="C12" s="378">
        <v>5</v>
      </c>
      <c r="D12" s="378" t="s">
        <v>46</v>
      </c>
      <c r="F12" s="897">
        <v>2.5000000000000001E-2</v>
      </c>
      <c r="G12" s="222"/>
      <c r="I12" s="568">
        <v>2.5000000000000001E-2</v>
      </c>
      <c r="J12" s="223"/>
    </row>
    <row r="13" spans="3:10" ht="12.75" customHeight="1">
      <c r="C13" s="378">
        <v>6</v>
      </c>
      <c r="D13" s="378" t="s">
        <v>53</v>
      </c>
      <c r="F13" s="897">
        <v>0.08</v>
      </c>
      <c r="G13" s="222"/>
      <c r="I13" s="568">
        <v>0.08</v>
      </c>
      <c r="J13" s="223"/>
    </row>
    <row r="14" spans="3:10" ht="12.75" customHeight="1">
      <c r="C14" s="378">
        <v>7</v>
      </c>
      <c r="D14" s="896" t="s">
        <v>54</v>
      </c>
      <c r="E14" s="898">
        <v>0.03</v>
      </c>
      <c r="F14" s="1103">
        <f>IF(E15&lt;0.5,E14,E14*E15)</f>
        <v>0.03</v>
      </c>
      <c r="G14" s="381">
        <f>F14</f>
        <v>0.03</v>
      </c>
      <c r="I14" s="568">
        <v>0.03</v>
      </c>
      <c r="J14" s="223"/>
    </row>
    <row r="15" spans="3:10" ht="12.75" customHeight="1">
      <c r="C15" s="378"/>
      <c r="D15" s="896" t="s">
        <v>600</v>
      </c>
      <c r="E15" s="899"/>
      <c r="F15" s="1104"/>
      <c r="G15" s="222"/>
      <c r="I15" s="900">
        <v>2</v>
      </c>
      <c r="J15" s="223"/>
    </row>
    <row r="16" spans="3:10" ht="12.75" customHeight="1">
      <c r="C16" s="378">
        <v>8</v>
      </c>
      <c r="D16" s="378" t="s">
        <v>47</v>
      </c>
      <c r="F16" s="897">
        <v>6.0000000000000001E-3</v>
      </c>
      <c r="G16" s="222"/>
      <c r="I16" s="568">
        <v>6.0000000000000001E-3</v>
      </c>
      <c r="J16" s="223"/>
    </row>
    <row r="17" spans="3:10" ht="3.75" customHeight="1">
      <c r="C17" s="378"/>
      <c r="D17" s="378"/>
      <c r="E17" s="378"/>
      <c r="F17" s="224"/>
      <c r="G17" s="222"/>
      <c r="I17" s="569"/>
      <c r="J17" s="223"/>
    </row>
    <row r="18" spans="3:10" ht="12" customHeight="1" thickBot="1">
      <c r="C18" s="1102" t="s">
        <v>63</v>
      </c>
      <c r="D18" s="1102"/>
      <c r="E18" s="1102"/>
      <c r="F18" s="380">
        <f>SUM(F8:F16)</f>
        <v>0.3680000000000001</v>
      </c>
      <c r="G18" s="224"/>
      <c r="I18" s="570">
        <f>SUM(I8:J13,I16)+(I14*I15)</f>
        <v>0.39800000000000008</v>
      </c>
      <c r="J18" s="223"/>
    </row>
    <row r="19" spans="3:10" ht="3.75" customHeight="1">
      <c r="C19" s="186"/>
      <c r="D19" s="186"/>
      <c r="E19" s="186"/>
      <c r="F19" s="224"/>
      <c r="G19" s="225"/>
      <c r="I19" s="571"/>
      <c r="J19" s="223"/>
    </row>
    <row r="20" spans="3:10" ht="21" customHeight="1" thickBot="1">
      <c r="C20" s="1093" t="s">
        <v>55</v>
      </c>
      <c r="D20" s="1094"/>
      <c r="E20" s="1094"/>
      <c r="F20" s="1095"/>
      <c r="G20" s="219"/>
      <c r="I20" s="572"/>
      <c r="J20" s="226"/>
    </row>
    <row r="21" spans="3:10" ht="3.75" customHeight="1">
      <c r="C21" s="186"/>
      <c r="D21" s="186"/>
      <c r="E21" s="186"/>
      <c r="F21" s="186"/>
      <c r="G21" s="220"/>
      <c r="I21" s="572"/>
      <c r="J21" s="226"/>
    </row>
    <row r="22" spans="3:10" ht="12.75" customHeight="1">
      <c r="C22" s="378">
        <v>9</v>
      </c>
      <c r="D22" s="378" t="s">
        <v>484</v>
      </c>
      <c r="F22" s="897">
        <f>1/12</f>
        <v>8.3333333333333329E-2</v>
      </c>
      <c r="G22" s="222"/>
      <c r="I22" s="568">
        <f>1/12</f>
        <v>8.3333333333333329E-2</v>
      </c>
      <c r="J22" s="223"/>
    </row>
    <row r="23" spans="3:10" ht="12.75" customHeight="1">
      <c r="C23" s="378">
        <v>10</v>
      </c>
      <c r="D23" s="378" t="s">
        <v>483</v>
      </c>
      <c r="F23" s="897">
        <f>(1/3)/12</f>
        <v>2.7777777777777776E-2</v>
      </c>
      <c r="G23" s="222"/>
      <c r="I23" s="568">
        <f>(1/3)/12</f>
        <v>2.7777777777777776E-2</v>
      </c>
      <c r="J23" s="223"/>
    </row>
    <row r="24" spans="3:10" ht="12.75" customHeight="1">
      <c r="C24" s="378">
        <v>11</v>
      </c>
      <c r="D24" s="378" t="s">
        <v>172</v>
      </c>
      <c r="F24" s="897">
        <v>1.3899999999999999E-2</v>
      </c>
      <c r="G24" s="222"/>
      <c r="I24" s="568">
        <v>1.3899999999999999E-2</v>
      </c>
      <c r="J24" s="223"/>
    </row>
    <row r="25" spans="3:10" ht="12.75" customHeight="1">
      <c r="C25" s="378">
        <v>12</v>
      </c>
      <c r="D25" s="378" t="s">
        <v>2</v>
      </c>
      <c r="F25" s="897">
        <v>2.0000000000000001E-4</v>
      </c>
      <c r="G25" s="222"/>
      <c r="I25" s="568">
        <v>2.0000000000000001E-4</v>
      </c>
      <c r="J25" s="223"/>
    </row>
    <row r="26" spans="3:10" ht="12.75" customHeight="1">
      <c r="C26" s="378">
        <v>13</v>
      </c>
      <c r="D26" s="378" t="s">
        <v>173</v>
      </c>
      <c r="F26" s="897">
        <v>2.8E-3</v>
      </c>
      <c r="G26" s="222"/>
      <c r="I26" s="568">
        <v>2.8E-3</v>
      </c>
      <c r="J26" s="223"/>
    </row>
    <row r="27" spans="3:10" ht="12.75" customHeight="1">
      <c r="C27" s="378">
        <v>14</v>
      </c>
      <c r="D27" s="378" t="s">
        <v>174</v>
      </c>
      <c r="F27" s="897">
        <v>3.3E-3</v>
      </c>
      <c r="G27" s="222"/>
      <c r="I27" s="568">
        <v>3.3E-3</v>
      </c>
      <c r="J27" s="223"/>
    </row>
    <row r="28" spans="3:10" ht="12.75" customHeight="1">
      <c r="C28" s="378">
        <v>15</v>
      </c>
      <c r="D28" s="378" t="s">
        <v>453</v>
      </c>
      <c r="F28" s="897">
        <v>4.0000000000000002E-4</v>
      </c>
      <c r="G28" s="222"/>
      <c r="I28" s="568">
        <v>4.0000000000000002E-4</v>
      </c>
      <c r="J28" s="223"/>
    </row>
    <row r="29" spans="3:10" ht="12.75" customHeight="1">
      <c r="C29" s="378">
        <v>16</v>
      </c>
      <c r="D29" s="378" t="s">
        <v>175</v>
      </c>
      <c r="F29" s="897">
        <f>1/12</f>
        <v>8.3333333333333329E-2</v>
      </c>
      <c r="G29" s="222"/>
      <c r="I29" s="568">
        <f>1/12</f>
        <v>8.3333333333333329E-2</v>
      </c>
      <c r="J29" s="223"/>
    </row>
    <row r="30" spans="3:10" ht="3.75" customHeight="1">
      <c r="C30" s="378"/>
      <c r="D30" s="378"/>
      <c r="E30" s="378"/>
      <c r="F30" s="224"/>
      <c r="G30" s="222"/>
      <c r="I30" s="569"/>
      <c r="J30" s="223"/>
    </row>
    <row r="31" spans="3:10" ht="13.5" customHeight="1" thickBot="1">
      <c r="C31" s="1102" t="s">
        <v>63</v>
      </c>
      <c r="D31" s="1102"/>
      <c r="E31" s="1102"/>
      <c r="F31" s="380">
        <f>SUM(F22:F30)</f>
        <v>0.21504444444444443</v>
      </c>
      <c r="G31" s="224"/>
      <c r="I31" s="570">
        <f>SUM(I22:I30)</f>
        <v>0.21504444444444443</v>
      </c>
      <c r="J31" s="223"/>
    </row>
    <row r="32" spans="3:10" ht="3.75" customHeight="1">
      <c r="C32" s="186"/>
      <c r="D32" s="186"/>
      <c r="E32" s="186"/>
      <c r="F32" s="224"/>
      <c r="G32" s="225"/>
      <c r="I32" s="571"/>
      <c r="J32" s="223"/>
    </row>
    <row r="33" spans="3:10" ht="21" customHeight="1" thickBot="1">
      <c r="C33" s="1093" t="s">
        <v>56</v>
      </c>
      <c r="D33" s="1094"/>
      <c r="E33" s="1094"/>
      <c r="F33" s="1095"/>
      <c r="G33" s="219"/>
      <c r="I33" s="572"/>
      <c r="J33" s="226"/>
    </row>
    <row r="34" spans="3:10" ht="3.75" customHeight="1">
      <c r="C34" s="227"/>
      <c r="D34" s="227"/>
      <c r="E34" s="227"/>
      <c r="F34" s="186"/>
      <c r="G34" s="220"/>
      <c r="I34" s="572"/>
      <c r="J34" s="226"/>
    </row>
    <row r="35" spans="3:10" ht="12.75" customHeight="1">
      <c r="C35" s="378">
        <v>17</v>
      </c>
      <c r="D35" s="1101" t="s">
        <v>499</v>
      </c>
      <c r="E35" s="1108"/>
      <c r="F35" s="897">
        <f>33/360*5%</f>
        <v>4.5833333333333334E-3</v>
      </c>
      <c r="G35" s="222"/>
      <c r="I35" s="568">
        <f>33/360*5%</f>
        <v>4.5833333333333334E-3</v>
      </c>
      <c r="J35" s="223"/>
    </row>
    <row r="36" spans="3:10" ht="12.75" customHeight="1">
      <c r="C36" s="378">
        <v>18</v>
      </c>
      <c r="D36" s="1101" t="s">
        <v>3</v>
      </c>
      <c r="E36" s="1101"/>
      <c r="F36" s="897">
        <v>8.0000000000000004E-4</v>
      </c>
      <c r="G36" s="222"/>
      <c r="I36" s="568">
        <v>8.0000000000000004E-4</v>
      </c>
      <c r="J36" s="223"/>
    </row>
    <row r="37" spans="3:10" ht="12.75" customHeight="1">
      <c r="C37" s="378">
        <v>19</v>
      </c>
      <c r="D37" s="1100" t="s">
        <v>57</v>
      </c>
      <c r="E37" s="1100"/>
      <c r="F37" s="897">
        <f>F13*0.5*0.9</f>
        <v>3.6000000000000004E-2</v>
      </c>
      <c r="G37" s="222"/>
      <c r="I37" s="568">
        <f>I13*0.5*0.9</f>
        <v>3.6000000000000004E-2</v>
      </c>
      <c r="J37" s="223"/>
    </row>
    <row r="38" spans="3:10" ht="3.75" customHeight="1">
      <c r="C38" s="378"/>
      <c r="D38" s="379"/>
      <c r="E38" s="379"/>
      <c r="F38" s="224"/>
      <c r="G38" s="222"/>
      <c r="I38" s="569"/>
      <c r="J38" s="223"/>
    </row>
    <row r="39" spans="3:10" ht="12" customHeight="1" thickBot="1">
      <c r="C39" s="1102" t="s">
        <v>63</v>
      </c>
      <c r="D39" s="1102"/>
      <c r="E39" s="1102"/>
      <c r="F39" s="380">
        <f>SUM(F35:F38)</f>
        <v>4.1383333333333341E-2</v>
      </c>
      <c r="G39" s="224"/>
      <c r="I39" s="570">
        <f>SUM(I35:I38)</f>
        <v>4.1383333333333341E-2</v>
      </c>
      <c r="J39" s="223"/>
    </row>
    <row r="40" spans="3:10" ht="3.75" customHeight="1">
      <c r="C40" s="186"/>
      <c r="D40" s="186"/>
      <c r="E40" s="186"/>
      <c r="F40" s="224"/>
      <c r="G40" s="225"/>
      <c r="I40" s="571"/>
      <c r="J40" s="223"/>
    </row>
    <row r="41" spans="3:10" ht="21" customHeight="1" thickBot="1">
      <c r="C41" s="1093" t="s">
        <v>58</v>
      </c>
      <c r="D41" s="1094"/>
      <c r="E41" s="1094"/>
      <c r="F41" s="1095"/>
      <c r="G41" s="219"/>
      <c r="I41" s="572"/>
      <c r="J41" s="226"/>
    </row>
    <row r="42" spans="3:10" ht="3.75" customHeight="1">
      <c r="C42" s="186"/>
      <c r="D42" s="186"/>
      <c r="E42" s="186"/>
      <c r="F42" s="186"/>
      <c r="G42" s="220"/>
      <c r="I42" s="572"/>
      <c r="J42" s="226"/>
    </row>
    <row r="43" spans="3:10" ht="12" customHeight="1" thickBot="1">
      <c r="C43" s="378">
        <v>20</v>
      </c>
      <c r="D43" s="1100" t="s">
        <v>588</v>
      </c>
      <c r="E43" s="1100"/>
      <c r="F43" s="897">
        <f>(F31-F23+F35)*F18</f>
        <v>7.0600800000000005E-2</v>
      </c>
      <c r="G43" s="222"/>
      <c r="I43" s="570">
        <f>(I31-2.78%+I35)*I18</f>
        <v>7.6347455555555568E-2</v>
      </c>
      <c r="J43" s="223"/>
    </row>
    <row r="44" spans="3:10" ht="3.75" customHeight="1">
      <c r="C44" s="227"/>
      <c r="D44" s="221"/>
      <c r="E44" s="221"/>
      <c r="F44" s="224"/>
      <c r="G44" s="222"/>
      <c r="I44" s="571"/>
      <c r="J44" s="223"/>
    </row>
    <row r="45" spans="3:10" s="229" customFormat="1" ht="0.75" customHeight="1">
      <c r="C45" s="227"/>
      <c r="D45" s="228"/>
      <c r="E45" s="228"/>
      <c r="F45" s="381">
        <f>SUM(F18,F31,F39,F43)</f>
        <v>0.69502857777777782</v>
      </c>
      <c r="G45" s="381">
        <f>SUM(G18,G31,G39,G43)</f>
        <v>0</v>
      </c>
      <c r="H45" s="381">
        <f>SUM(H18,H31,H39,H43)</f>
        <v>0</v>
      </c>
      <c r="I45" s="573">
        <f>SUM(I18,I31,I39,I43)</f>
        <v>0.73077523333333338</v>
      </c>
      <c r="J45" s="223"/>
    </row>
    <row r="46" spans="3:10" ht="3.75" customHeight="1">
      <c r="C46" s="1105"/>
      <c r="D46" s="1105"/>
      <c r="E46" s="1105"/>
      <c r="F46" s="230"/>
      <c r="G46" s="231"/>
      <c r="I46" s="572"/>
      <c r="J46" s="232"/>
    </row>
    <row r="47" spans="3:10" ht="15" customHeight="1" thickBot="1">
      <c r="C47" s="1106" t="s">
        <v>59</v>
      </c>
      <c r="D47" s="1107"/>
      <c r="E47" s="1107"/>
      <c r="F47" s="380">
        <f>SUM(F43,F39,F31,F18)</f>
        <v>0.69502857777777782</v>
      </c>
      <c r="G47" s="224"/>
      <c r="I47" s="574">
        <f>SUM(I43,I39,I31,I18)</f>
        <v>0.7307752333333335</v>
      </c>
      <c r="J47" s="223"/>
    </row>
    <row r="48" spans="3:10" ht="5.25" customHeight="1">
      <c r="C48" s="170"/>
      <c r="D48" s="170"/>
      <c r="E48" s="170"/>
    </row>
    <row r="49" spans="3:10" ht="12.75" customHeight="1">
      <c r="C49" s="725" t="s">
        <v>596</v>
      </c>
      <c r="D49" s="170"/>
      <c r="E49" s="170"/>
    </row>
    <row r="50" spans="3:10" ht="69.75" customHeight="1">
      <c r="C50" s="1090" t="s">
        <v>597</v>
      </c>
      <c r="D50" s="1091"/>
      <c r="E50" s="1091"/>
      <c r="F50" s="1092"/>
      <c r="G50" s="233"/>
      <c r="H50" s="233"/>
      <c r="I50" s="233"/>
      <c r="J50" s="233"/>
    </row>
    <row r="51" spans="3:10" ht="0.75" customHeight="1">
      <c r="C51" s="847"/>
      <c r="D51" s="234"/>
      <c r="E51" s="234"/>
      <c r="F51" s="848"/>
      <c r="G51" s="234"/>
      <c r="H51" s="234"/>
      <c r="I51" s="234"/>
      <c r="J51" s="234"/>
    </row>
    <row r="52" spans="3:10" ht="59.25" customHeight="1">
      <c r="C52" s="1096" t="s">
        <v>598</v>
      </c>
      <c r="D52" s="1097"/>
      <c r="E52" s="1097"/>
      <c r="F52" s="1098"/>
      <c r="G52" s="234"/>
      <c r="H52" s="234"/>
      <c r="I52" s="234"/>
      <c r="J52" s="234"/>
    </row>
    <row r="53" spans="3:10" ht="12" customHeight="1">
      <c r="C53" s="234"/>
      <c r="D53" s="234"/>
      <c r="E53" s="234"/>
      <c r="F53" s="234"/>
      <c r="G53" s="234"/>
      <c r="H53" s="234"/>
      <c r="I53" s="234"/>
      <c r="J53" s="234"/>
    </row>
    <row r="54" spans="3:10" ht="12" customHeight="1">
      <c r="C54" s="234"/>
      <c r="D54" s="234"/>
      <c r="E54" s="234"/>
      <c r="F54" s="234"/>
      <c r="G54" s="234"/>
      <c r="H54" s="234"/>
      <c r="I54" s="234"/>
      <c r="J54" s="234"/>
    </row>
    <row r="55" spans="3:10" ht="12" customHeight="1">
      <c r="C55" s="235"/>
      <c r="D55" s="235"/>
      <c r="E55" s="235"/>
      <c r="F55" s="235"/>
      <c r="G55" s="235"/>
      <c r="H55" s="235"/>
      <c r="I55" s="235"/>
      <c r="J55" s="235"/>
    </row>
    <row r="56" spans="3:10" ht="12" customHeight="1">
      <c r="C56" s="235"/>
      <c r="D56" s="235"/>
      <c r="E56" s="235"/>
      <c r="F56" s="235"/>
      <c r="G56" s="235"/>
      <c r="H56" s="235"/>
      <c r="I56" s="235"/>
      <c r="J56" s="235"/>
    </row>
    <row r="57" spans="3:10" ht="12" customHeight="1">
      <c r="C57" s="235"/>
      <c r="D57" s="235"/>
      <c r="E57" s="235"/>
      <c r="F57" s="235"/>
      <c r="G57" s="235"/>
      <c r="H57" s="235"/>
      <c r="I57" s="235"/>
      <c r="J57" s="235"/>
    </row>
    <row r="58" spans="3:10" ht="12" customHeight="1">
      <c r="C58" s="235"/>
      <c r="D58" s="235"/>
      <c r="E58" s="235"/>
      <c r="F58" s="235"/>
      <c r="G58" s="235"/>
      <c r="H58" s="235"/>
      <c r="I58" s="235"/>
      <c r="J58" s="235"/>
    </row>
    <row r="59" spans="3:10" ht="12" customHeight="1">
      <c r="C59" s="235"/>
      <c r="D59" s="235"/>
      <c r="E59" s="235"/>
      <c r="F59" s="235"/>
      <c r="G59" s="235"/>
      <c r="H59" s="235"/>
      <c r="I59" s="235"/>
      <c r="J59" s="235"/>
    </row>
    <row r="60" spans="3:10" ht="12" customHeight="1">
      <c r="C60" s="235"/>
      <c r="D60" s="235"/>
      <c r="E60" s="235"/>
      <c r="F60" s="235"/>
      <c r="G60" s="235"/>
      <c r="H60" s="235"/>
      <c r="I60" s="235"/>
      <c r="J60" s="235"/>
    </row>
  </sheetData>
  <sheetProtection password="C91B" sheet="1" formatCells="0" formatColumns="0" formatRows="0"/>
  <mergeCells count="17">
    <mergeCell ref="F14:F15"/>
    <mergeCell ref="C20:F20"/>
    <mergeCell ref="C46:E46"/>
    <mergeCell ref="C47:E47"/>
    <mergeCell ref="C31:E31"/>
    <mergeCell ref="C18:E18"/>
    <mergeCell ref="D35:E35"/>
    <mergeCell ref="C50:F50"/>
    <mergeCell ref="C33:F33"/>
    <mergeCell ref="C52:F52"/>
    <mergeCell ref="C4:F4"/>
    <mergeCell ref="D43:E43"/>
    <mergeCell ref="D36:E36"/>
    <mergeCell ref="D37:E37"/>
    <mergeCell ref="C39:E39"/>
    <mergeCell ref="C41:F41"/>
    <mergeCell ref="C6:F6"/>
  </mergeCells>
  <phoneticPr fontId="0" type="noConversion"/>
  <conditionalFormatting sqref="F35:G37 F22:G29 G8:G16 F8:F13 F16 F43:G43">
    <cfRule type="cellIs" dxfId="6" priority="1" stopIfTrue="1" operator="greaterThan">
      <formula>$I8</formula>
    </cfRule>
  </conditionalFormatting>
  <conditionalFormatting sqref="F14:F15">
    <cfRule type="cellIs" dxfId="5" priority="2" stopIfTrue="1" operator="greaterThan">
      <formula>$I14*$I$15</formula>
    </cfRule>
  </conditionalFormatting>
  <printOptions horizontalCentered="1"/>
  <pageMargins left="0.59" right="0.49" top="0.93" bottom="0.98425196850393704" header="0.51181102362204722" footer="0.51181102362204722"/>
  <pageSetup paperSize="9" orientation="portrait" blackAndWhite="1" horizontalDpi="300" verticalDpi="300" r:id="rId1"/>
  <headerFooter alignWithMargins="0">
    <oddFooter>&amp;R&amp;F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4" enableFormatConditionsCalculation="0">
    <tabColor indexed="18"/>
    <pageSetUpPr autoPageBreaks="0" fitToPage="1"/>
  </sheetPr>
  <dimension ref="B1:J23"/>
  <sheetViews>
    <sheetView showGridLines="0" showZeros="0" zoomScale="110" workbookViewId="0"/>
  </sheetViews>
  <sheetFormatPr defaultRowHeight="12.75"/>
  <cols>
    <col min="1" max="1" width="3.140625" style="214" customWidth="1"/>
    <col min="2" max="2" width="2.28515625" style="262" customWidth="1"/>
    <col min="3" max="3" width="33.28515625" style="135" customWidth="1"/>
    <col min="4" max="4" width="9.42578125" style="263" customWidth="1"/>
    <col min="5" max="5" width="2.28515625" style="264" customWidth="1"/>
    <col min="6" max="6" width="2.42578125" style="229" customWidth="1"/>
    <col min="7" max="7" width="34.42578125" style="214" customWidth="1"/>
    <col min="8" max="8" width="9.42578125" style="265" customWidth="1"/>
    <col min="9" max="9" width="7.85546875" style="214" customWidth="1"/>
    <col min="10" max="16384" width="9.140625" style="214"/>
  </cols>
  <sheetData>
    <row r="1" spans="2:10" ht="6" customHeight="1"/>
    <row r="2" spans="2:10" ht="14.25" customHeight="1">
      <c r="D2" s="135"/>
      <c r="E2" s="135"/>
      <c r="F2" s="135"/>
      <c r="G2" s="135"/>
      <c r="H2" s="135"/>
      <c r="I2" s="135"/>
      <c r="J2" s="135"/>
    </row>
    <row r="3" spans="2:10" ht="18.75" customHeight="1">
      <c r="B3" s="237"/>
      <c r="C3" s="237"/>
      <c r="D3" s="237"/>
      <c r="F3" s="266"/>
      <c r="G3" s="1112" t="s">
        <v>237</v>
      </c>
      <c r="H3" s="1112"/>
    </row>
    <row r="4" spans="2:10" ht="22.5" customHeight="1" thickBot="1">
      <c r="B4" s="382">
        <v>1</v>
      </c>
      <c r="C4" s="1109" t="s">
        <v>23</v>
      </c>
      <c r="D4" s="1110"/>
      <c r="F4" s="384">
        <v>1</v>
      </c>
      <c r="G4" s="1113" t="s">
        <v>23</v>
      </c>
      <c r="H4" s="1114"/>
    </row>
    <row r="5" spans="2:10" ht="5.25" customHeight="1">
      <c r="B5" s="237"/>
      <c r="C5" s="267"/>
      <c r="D5" s="268"/>
      <c r="F5" s="384"/>
      <c r="G5" s="575"/>
      <c r="H5" s="576"/>
    </row>
    <row r="6" spans="2:10" ht="24.75" customHeight="1" thickBot="1">
      <c r="B6" s="269"/>
      <c r="C6" s="383" t="s">
        <v>24</v>
      </c>
      <c r="D6" s="391">
        <v>0.1462</v>
      </c>
      <c r="E6" s="271"/>
      <c r="F6" s="1111"/>
      <c r="G6" s="577" t="s">
        <v>238</v>
      </c>
      <c r="H6" s="578">
        <v>0.1462</v>
      </c>
    </row>
    <row r="7" spans="2:10" ht="5.25" customHeight="1">
      <c r="B7" s="269"/>
      <c r="C7" s="270"/>
      <c r="D7" s="272"/>
      <c r="F7" s="1111"/>
      <c r="G7" s="579"/>
      <c r="H7" s="576"/>
    </row>
    <row r="8" spans="2:10" ht="19.5" customHeight="1">
      <c r="B8" s="269"/>
      <c r="C8" s="267"/>
      <c r="D8" s="272"/>
      <c r="F8" s="386"/>
      <c r="G8" s="580"/>
      <c r="H8" s="576"/>
    </row>
    <row r="9" spans="2:10" ht="21.75" customHeight="1" thickBot="1">
      <c r="B9" s="382">
        <v>2</v>
      </c>
      <c r="C9" s="1109" t="s">
        <v>60</v>
      </c>
      <c r="D9" s="1110"/>
      <c r="F9" s="384">
        <v>2</v>
      </c>
      <c r="G9" s="1115" t="s">
        <v>60</v>
      </c>
      <c r="H9" s="1116"/>
    </row>
    <row r="10" spans="2:10" ht="5.25" customHeight="1">
      <c r="B10" s="237"/>
      <c r="C10" s="267"/>
      <c r="D10" s="268"/>
      <c r="F10" s="384"/>
      <c r="G10" s="575"/>
      <c r="H10" s="576"/>
    </row>
    <row r="11" spans="2:10" ht="24.75" customHeight="1">
      <c r="B11" s="269"/>
      <c r="C11" s="383" t="s">
        <v>61</v>
      </c>
      <c r="D11" s="390">
        <v>0.05</v>
      </c>
      <c r="E11" s="273"/>
      <c r="F11" s="1111"/>
      <c r="G11" s="581" t="s">
        <v>239</v>
      </c>
      <c r="H11" s="582">
        <v>0.05</v>
      </c>
    </row>
    <row r="12" spans="2:10" ht="24.75" customHeight="1">
      <c r="B12" s="269"/>
      <c r="C12" s="383" t="s">
        <v>25</v>
      </c>
      <c r="D12" s="390">
        <v>1.6500000000000001E-2</v>
      </c>
      <c r="E12" s="273"/>
      <c r="F12" s="1111"/>
      <c r="G12" s="581" t="s">
        <v>26</v>
      </c>
      <c r="H12" s="582">
        <v>1.6500000000000001E-2</v>
      </c>
    </row>
    <row r="13" spans="2:10" ht="24" customHeight="1">
      <c r="B13" s="269"/>
      <c r="C13" s="383" t="s">
        <v>62</v>
      </c>
      <c r="D13" s="776">
        <v>7.5999999999999998E-2</v>
      </c>
      <c r="E13" s="273"/>
      <c r="F13" s="1111"/>
      <c r="G13" s="581" t="s">
        <v>240</v>
      </c>
      <c r="H13" s="582">
        <v>7.5999999999999998E-2</v>
      </c>
    </row>
    <row r="14" spans="2:10" ht="24" customHeight="1" thickBot="1">
      <c r="B14" s="269"/>
      <c r="C14" s="383" t="s">
        <v>570</v>
      </c>
      <c r="D14" s="391"/>
      <c r="E14" s="273"/>
      <c r="F14" s="1111"/>
      <c r="G14" s="577" t="s">
        <v>571</v>
      </c>
      <c r="H14" s="578">
        <f>D16</f>
        <v>0.14250000000000002</v>
      </c>
    </row>
    <row r="15" spans="2:10" ht="11.25" customHeight="1">
      <c r="B15" s="269"/>
      <c r="C15" s="270"/>
      <c r="D15" s="272"/>
      <c r="F15" s="1111"/>
      <c r="G15" s="579"/>
      <c r="H15" s="576"/>
    </row>
    <row r="16" spans="2:10" ht="18" customHeight="1" thickBot="1">
      <c r="B16" s="269"/>
      <c r="C16" s="388" t="s">
        <v>113</v>
      </c>
      <c r="D16" s="389">
        <f>IF(D14&gt;0,D14,SUM(D11:D14))</f>
        <v>0.14250000000000002</v>
      </c>
      <c r="E16" s="271"/>
      <c r="F16" s="1111"/>
      <c r="G16" s="387"/>
      <c r="H16" s="385"/>
    </row>
    <row r="17" spans="2:8" ht="5.25" customHeight="1">
      <c r="B17" s="269"/>
      <c r="C17" s="267"/>
      <c r="D17" s="272"/>
      <c r="F17" s="1111"/>
      <c r="G17" s="387"/>
      <c r="H17" s="385"/>
    </row>
    <row r="18" spans="2:8" ht="24.75" customHeight="1">
      <c r="B18" s="269"/>
      <c r="E18" s="271"/>
      <c r="F18" s="1111"/>
      <c r="G18" s="387"/>
      <c r="H18" s="385"/>
    </row>
    <row r="19" spans="2:8" ht="5.25" customHeight="1">
      <c r="F19" s="1111"/>
      <c r="G19" s="387"/>
      <c r="H19" s="385"/>
    </row>
    <row r="20" spans="2:8" ht="15" customHeight="1">
      <c r="F20" s="1111"/>
      <c r="G20" s="387"/>
      <c r="H20" s="385"/>
    </row>
    <row r="21" spans="2:8" ht="5.25" customHeight="1">
      <c r="F21" s="266"/>
    </row>
    <row r="22" spans="2:8" ht="24.75" customHeight="1">
      <c r="F22" s="266"/>
    </row>
    <row r="23" spans="2:8" ht="5.25" customHeight="1"/>
  </sheetData>
  <sheetProtection password="CADB" sheet="1" objects="1" scenarios="1" formatColumns="0" formatRows="0"/>
  <mergeCells count="7">
    <mergeCell ref="C9:D9"/>
    <mergeCell ref="C4:D4"/>
    <mergeCell ref="F11:F20"/>
    <mergeCell ref="G3:H3"/>
    <mergeCell ref="G4:H4"/>
    <mergeCell ref="F6:F7"/>
    <mergeCell ref="G9:H9"/>
  </mergeCells>
  <phoneticPr fontId="0" type="noConversion"/>
  <conditionalFormatting sqref="D13">
    <cfRule type="cellIs" dxfId="4" priority="1" stopIfTrue="1" operator="greaterThan">
      <formula>0.076</formula>
    </cfRule>
  </conditionalFormatting>
  <conditionalFormatting sqref="D12">
    <cfRule type="cellIs" dxfId="3" priority="2" stopIfTrue="1" operator="greaterThan">
      <formula>0.0165</formula>
    </cfRule>
  </conditionalFormatting>
  <conditionalFormatting sqref="D11">
    <cfRule type="cellIs" dxfId="2" priority="3" stopIfTrue="1" operator="greaterThan">
      <formula>0.05</formula>
    </cfRule>
  </conditionalFormatting>
  <conditionalFormatting sqref="D6">
    <cfRule type="cellIs" dxfId="1" priority="4" stopIfTrue="1" operator="greaterThan">
      <formula>0.15</formula>
    </cfRule>
  </conditionalFormatting>
  <conditionalFormatting sqref="D14">
    <cfRule type="cellIs" dxfId="0" priority="5" stopIfTrue="1" operator="greaterThan">
      <formula>$H$14</formula>
    </cfRule>
  </conditionalFormatting>
  <printOptions horizontalCentered="1"/>
  <pageMargins left="0.51181102362204722" right="0.47244094488188981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  <pageSetUpPr autoPageBreaks="0"/>
  </sheetPr>
  <dimension ref="B1:M77"/>
  <sheetViews>
    <sheetView showGridLines="0" showZeros="0" zoomScaleNormal="100" workbookViewId="0">
      <pane ySplit="13" topLeftCell="A14" activePane="bottomLeft" state="frozen"/>
      <selection activeCell="C6" sqref="C6:Q6"/>
      <selection pane="bottomLeft" activeCell="E18" sqref="E18"/>
    </sheetView>
  </sheetViews>
  <sheetFormatPr defaultRowHeight="12.75"/>
  <cols>
    <col min="1" max="1" width="5.28515625" style="170" customWidth="1"/>
    <col min="2" max="2" width="2.5703125" style="169" customWidth="1"/>
    <col min="3" max="3" width="29.5703125" style="170" customWidth="1"/>
    <col min="4" max="4" width="8.7109375" style="171" customWidth="1"/>
    <col min="5" max="5" width="7.7109375" style="170" customWidth="1"/>
    <col min="6" max="6" width="10" style="170" customWidth="1"/>
    <col min="7" max="7" width="10.5703125" style="170" customWidth="1"/>
    <col min="8" max="8" width="1.85546875" style="170" customWidth="1"/>
    <col min="9" max="9" width="12" style="170" bestFit="1" customWidth="1"/>
    <col min="10" max="10" width="12.85546875" style="170" customWidth="1"/>
    <col min="11" max="11" width="2" style="170" customWidth="1"/>
    <col min="12" max="12" width="11" style="170" customWidth="1"/>
    <col min="13" max="13" width="1" style="170" customWidth="1"/>
    <col min="14" max="16384" width="9.140625" style="170"/>
  </cols>
  <sheetData>
    <row r="1" spans="2:13" ht="6" customHeight="1"/>
    <row r="2" spans="2:13" ht="16.5" customHeight="1">
      <c r="C2" s="1118" t="s">
        <v>494</v>
      </c>
      <c r="D2" s="1118"/>
      <c r="E2" s="1118"/>
      <c r="F2" s="1118"/>
      <c r="G2" s="1118"/>
      <c r="H2" s="1118"/>
      <c r="I2" s="1118"/>
      <c r="J2" s="1118"/>
      <c r="K2" s="1118"/>
      <c r="L2" s="1118"/>
    </row>
    <row r="3" spans="2:13" ht="6" customHeight="1"/>
    <row r="4" spans="2:13" ht="18" customHeight="1" thickBot="1">
      <c r="C4" s="1069" t="s">
        <v>493</v>
      </c>
      <c r="D4" s="1070"/>
      <c r="E4" s="1070"/>
      <c r="F4" s="1070"/>
      <c r="G4" s="1070"/>
      <c r="H4" s="1070"/>
      <c r="I4" s="1070"/>
      <c r="J4" s="1070"/>
      <c r="K4" s="1070"/>
      <c r="L4" s="1071"/>
    </row>
    <row r="5" spans="2:13" s="173" customFormat="1" ht="7.5" customHeight="1">
      <c r="B5" s="172"/>
      <c r="D5" s="157"/>
      <c r="E5" s="174"/>
      <c r="F5" s="174"/>
      <c r="G5" s="174"/>
      <c r="H5" s="174"/>
      <c r="I5" s="174"/>
      <c r="J5" s="174"/>
    </row>
    <row r="6" spans="2:13" ht="9" customHeight="1">
      <c r="C6" s="1068" t="s">
        <v>475</v>
      </c>
      <c r="D6" s="1076">
        <v>12</v>
      </c>
      <c r="E6" s="1067" t="s">
        <v>476</v>
      </c>
      <c r="F6" s="1120"/>
      <c r="G6" s="730"/>
      <c r="H6" s="981"/>
      <c r="I6" s="1121" t="s">
        <v>82</v>
      </c>
      <c r="J6" s="1121"/>
      <c r="K6" s="176"/>
      <c r="L6" s="1072">
        <f>SUM(J16:J75)</f>
        <v>5191.7847463556845</v>
      </c>
      <c r="M6" s="1073"/>
    </row>
    <row r="7" spans="2:13" ht="10.5" customHeight="1" thickBot="1">
      <c r="C7" s="1068"/>
      <c r="D7" s="1077"/>
      <c r="E7" s="1067"/>
      <c r="F7" s="1120"/>
      <c r="G7" s="730"/>
      <c r="H7" s="981"/>
      <c r="I7" s="1121"/>
      <c r="J7" s="1121"/>
      <c r="K7" s="176"/>
      <c r="L7" s="1074"/>
      <c r="M7" s="1075"/>
    </row>
    <row r="8" spans="2:13" ht="17.25" customHeight="1">
      <c r="D8" s="175"/>
      <c r="E8" s="176"/>
      <c r="F8" s="176"/>
      <c r="G8" s="176"/>
      <c r="H8" s="176"/>
      <c r="I8" s="1117" t="s">
        <v>83</v>
      </c>
      <c r="J8" s="1117"/>
      <c r="K8" s="177"/>
      <c r="L8" s="1072">
        <f>SUM(L16:L75)</f>
        <v>432.64872886297371</v>
      </c>
      <c r="M8" s="1073"/>
    </row>
    <row r="9" spans="2:13" ht="3.75" customHeight="1" thickBot="1">
      <c r="D9" s="175"/>
      <c r="E9" s="176"/>
      <c r="F9" s="176"/>
      <c r="G9" s="176"/>
      <c r="H9" s="176"/>
      <c r="I9" s="178"/>
      <c r="J9" s="178"/>
      <c r="K9" s="177"/>
      <c r="L9" s="1074"/>
      <c r="M9" s="1075"/>
    </row>
    <row r="10" spans="2:13" s="181" customFormat="1" ht="9.75" customHeight="1">
      <c r="B10" s="180"/>
      <c r="C10" s="211">
        <v>1</v>
      </c>
      <c r="D10" s="211">
        <v>2</v>
      </c>
      <c r="E10" s="211">
        <v>3</v>
      </c>
      <c r="F10" s="211">
        <v>4</v>
      </c>
      <c r="G10" s="211">
        <v>4</v>
      </c>
      <c r="H10" s="212"/>
      <c r="I10" s="211">
        <v>5</v>
      </c>
      <c r="J10" s="211">
        <v>5</v>
      </c>
      <c r="K10" s="212"/>
      <c r="L10" s="211">
        <v>6</v>
      </c>
    </row>
    <row r="11" spans="2:13" s="752" customFormat="1" ht="25.5" customHeight="1" thickBot="1">
      <c r="B11" s="750"/>
      <c r="C11" s="982" t="s">
        <v>88</v>
      </c>
      <c r="D11" s="983" t="s">
        <v>692</v>
      </c>
      <c r="E11" s="982" t="s">
        <v>66</v>
      </c>
      <c r="F11" s="982" t="s">
        <v>81</v>
      </c>
      <c r="G11" s="984" t="s">
        <v>130</v>
      </c>
      <c r="H11" s="985"/>
      <c r="I11" s="982" t="s">
        <v>693</v>
      </c>
      <c r="J11" s="982" t="s">
        <v>694</v>
      </c>
      <c r="K11" s="986"/>
      <c r="L11" s="158" t="s">
        <v>83</v>
      </c>
    </row>
    <row r="12" spans="2:13" s="185" customFormat="1" ht="2.25" customHeight="1">
      <c r="B12" s="182"/>
      <c r="C12" s="186"/>
      <c r="D12" s="187"/>
      <c r="E12" s="186"/>
      <c r="F12" s="186"/>
      <c r="G12" s="186"/>
      <c r="H12" s="183"/>
      <c r="I12" s="186"/>
      <c r="J12" s="186"/>
      <c r="K12" s="184"/>
      <c r="L12" s="186"/>
    </row>
    <row r="13" spans="2:13" s="185" customFormat="1" ht="2.25" customHeight="1">
      <c r="B13" s="182"/>
      <c r="C13" s="186"/>
      <c r="D13" s="187"/>
      <c r="E13" s="186"/>
      <c r="F13" s="186"/>
      <c r="G13" s="186"/>
      <c r="H13" s="183"/>
      <c r="I13" s="186"/>
      <c r="J13" s="186"/>
      <c r="K13" s="184"/>
      <c r="L13" s="186"/>
    </row>
    <row r="14" spans="2:13" s="185" customFormat="1" ht="5.25" customHeight="1">
      <c r="B14" s="182"/>
      <c r="C14" s="186"/>
      <c r="D14" s="187"/>
      <c r="E14" s="186"/>
      <c r="F14" s="186"/>
      <c r="G14" s="186"/>
      <c r="H14" s="183"/>
      <c r="I14" s="186"/>
      <c r="J14" s="186"/>
      <c r="K14" s="184"/>
      <c r="L14" s="186"/>
    </row>
    <row r="15" spans="2:13" ht="6.75" customHeight="1">
      <c r="C15" s="188"/>
      <c r="D15" s="189"/>
      <c r="E15" s="190"/>
      <c r="F15" s="191"/>
      <c r="G15" s="191"/>
      <c r="H15" s="191"/>
      <c r="I15" s="192"/>
      <c r="J15" s="192"/>
      <c r="K15" s="192"/>
      <c r="L15" s="192"/>
    </row>
    <row r="16" spans="2:13" hidden="1">
      <c r="B16" s="169">
        <v>1</v>
      </c>
      <c r="C16" s="197"/>
      <c r="D16" s="198"/>
      <c r="E16" s="198"/>
      <c r="F16" s="199"/>
      <c r="G16" s="980">
        <f>IF(Consolidado_A!$G$133&gt;=7.6%,-(0.0165+0.076)*F16,0)</f>
        <v>0</v>
      </c>
      <c r="H16" s="193"/>
      <c r="I16" s="561">
        <f>SUM(F16:G16)*E16</f>
        <v>0</v>
      </c>
      <c r="J16" s="561">
        <f>I16*(1+MC!$D$6)/(1-MC!$D$16)</f>
        <v>0</v>
      </c>
      <c r="K16" s="562"/>
      <c r="L16" s="561">
        <f>J16/$D$6</f>
        <v>0</v>
      </c>
    </row>
    <row r="17" spans="2:12" ht="25.5">
      <c r="B17" s="169">
        <v>2</v>
      </c>
      <c r="C17" s="197" t="s">
        <v>696</v>
      </c>
      <c r="D17" s="198">
        <v>1</v>
      </c>
      <c r="E17" s="198">
        <v>24</v>
      </c>
      <c r="F17" s="199">
        <v>150</v>
      </c>
      <c r="G17" s="987">
        <f>IF(Consolidado_A!$G$133&gt;=7.6%,-(0.0165+0.076)*F17,0)</f>
        <v>-13.875</v>
      </c>
      <c r="H17" s="193"/>
      <c r="I17" s="561">
        <f t="shared" ref="I17:I24" si="0">SUM(F17:G17)*E17</f>
        <v>3267</v>
      </c>
      <c r="J17" s="561">
        <f>I17*(1+MC!$D$6)/(1-MC!$D$16)</f>
        <v>4366.9217492711368</v>
      </c>
      <c r="K17" s="562"/>
      <c r="L17" s="561">
        <f t="shared" ref="L17:L24" si="1">J17/$D$6</f>
        <v>363.91014577259472</v>
      </c>
    </row>
    <row r="18" spans="2:12" ht="25.5">
      <c r="B18" s="169">
        <v>3</v>
      </c>
      <c r="C18" s="197" t="s">
        <v>697</v>
      </c>
      <c r="D18" s="198">
        <v>1</v>
      </c>
      <c r="E18" s="198">
        <v>4</v>
      </c>
      <c r="F18" s="199">
        <v>170</v>
      </c>
      <c r="G18" s="987">
        <f>IF(Consolidado_A!$G$133&gt;=7.6%,-(0.0165+0.076)*F18,0)</f>
        <v>-15.725</v>
      </c>
      <c r="H18" s="193"/>
      <c r="I18" s="561">
        <f t="shared" si="0"/>
        <v>617.1</v>
      </c>
      <c r="J18" s="561">
        <f>I18*(1+MC!$D$6)/(1-MC!$D$16)</f>
        <v>824.86299708454817</v>
      </c>
      <c r="K18" s="562"/>
      <c r="L18" s="561">
        <f t="shared" si="1"/>
        <v>68.738583090379009</v>
      </c>
    </row>
    <row r="19" spans="2:12">
      <c r="B19" s="169">
        <v>4</v>
      </c>
      <c r="C19" s="197"/>
      <c r="D19" s="198"/>
      <c r="E19" s="198"/>
      <c r="F19" s="199"/>
      <c r="G19" s="987">
        <f>IF(Consolidado_A!$G$133&gt;=7.6%,-(0.0165+0.076)*F19,0)</f>
        <v>0</v>
      </c>
      <c r="H19" s="193"/>
      <c r="I19" s="561">
        <f t="shared" si="0"/>
        <v>0</v>
      </c>
      <c r="J19" s="561">
        <f>I19*(1+MC!$D$6)/(1-MC!$D$16)</f>
        <v>0</v>
      </c>
      <c r="K19" s="562"/>
      <c r="L19" s="561">
        <f t="shared" si="1"/>
        <v>0</v>
      </c>
    </row>
    <row r="20" spans="2:12">
      <c r="B20" s="169">
        <v>5</v>
      </c>
      <c r="C20" s="197"/>
      <c r="D20" s="198"/>
      <c r="E20" s="198"/>
      <c r="F20" s="199"/>
      <c r="G20" s="987">
        <f>IF(Consolidado_A!$G$133&gt;=7.6%,-(0.0165+0.076)*F20,0)</f>
        <v>0</v>
      </c>
      <c r="H20" s="193"/>
      <c r="I20" s="561">
        <f t="shared" si="0"/>
        <v>0</v>
      </c>
      <c r="J20" s="561">
        <f>I20*(1+MC!$D$6)/(1-MC!$D$16)</f>
        <v>0</v>
      </c>
      <c r="K20" s="562"/>
      <c r="L20" s="561">
        <f t="shared" si="1"/>
        <v>0</v>
      </c>
    </row>
    <row r="21" spans="2:12">
      <c r="B21" s="169">
        <v>6</v>
      </c>
      <c r="C21" s="197"/>
      <c r="D21" s="198"/>
      <c r="E21" s="198"/>
      <c r="F21" s="199"/>
      <c r="G21" s="987">
        <f>IF(Consolidado_A!$G$133&gt;=7.6%,-(0.0165+0.076)*F21,0)</f>
        <v>0</v>
      </c>
      <c r="H21" s="193"/>
      <c r="I21" s="561">
        <f t="shared" si="0"/>
        <v>0</v>
      </c>
      <c r="J21" s="561">
        <f>I21*(1+MC!$D$6)/(1-MC!$D$16)</f>
        <v>0</v>
      </c>
      <c r="K21" s="562"/>
      <c r="L21" s="561">
        <f t="shared" si="1"/>
        <v>0</v>
      </c>
    </row>
    <row r="22" spans="2:12">
      <c r="B22" s="169">
        <v>7</v>
      </c>
      <c r="C22" s="197"/>
      <c r="D22" s="198"/>
      <c r="E22" s="198"/>
      <c r="F22" s="199"/>
      <c r="G22" s="987">
        <f>IF(Consolidado_A!$G$133&gt;=7.6%,-(0.0165+0.076)*F22,0)</f>
        <v>0</v>
      </c>
      <c r="H22" s="193"/>
      <c r="I22" s="561">
        <f t="shared" si="0"/>
        <v>0</v>
      </c>
      <c r="J22" s="561">
        <f>I22*(1+MC!$D$6)/(1-MC!$D$16)</f>
        <v>0</v>
      </c>
      <c r="K22" s="562"/>
      <c r="L22" s="561">
        <f t="shared" si="1"/>
        <v>0</v>
      </c>
    </row>
    <row r="23" spans="2:12">
      <c r="B23" s="169">
        <v>8</v>
      </c>
      <c r="C23" s="197"/>
      <c r="D23" s="198"/>
      <c r="E23" s="198"/>
      <c r="F23" s="199"/>
      <c r="G23" s="987">
        <f>IF(Consolidado_A!$G$133&gt;=7.6%,-(0.0165+0.076)*F23,0)</f>
        <v>0</v>
      </c>
      <c r="H23" s="193"/>
      <c r="I23" s="561">
        <f t="shared" si="0"/>
        <v>0</v>
      </c>
      <c r="J23" s="561">
        <f>I23*(1+MC!$D$6)/(1-MC!$D$16)</f>
        <v>0</v>
      </c>
      <c r="K23" s="562"/>
      <c r="L23" s="561">
        <f t="shared" si="1"/>
        <v>0</v>
      </c>
    </row>
    <row r="24" spans="2:12">
      <c r="B24" s="169">
        <v>9</v>
      </c>
      <c r="C24" s="197"/>
      <c r="D24" s="198"/>
      <c r="E24" s="198"/>
      <c r="F24" s="199"/>
      <c r="G24" s="987">
        <f>IF(Consolidado_A!$G$133&gt;=7.6%,-(0.0165+0.076)*F24,0)</f>
        <v>0</v>
      </c>
      <c r="H24" s="193"/>
      <c r="I24" s="561">
        <f t="shared" si="0"/>
        <v>0</v>
      </c>
      <c r="J24" s="561">
        <f>I24*(1+MC!$D$6)/(1-MC!$D$16)</f>
        <v>0</v>
      </c>
      <c r="K24" s="562"/>
      <c r="L24" s="561">
        <f t="shared" si="1"/>
        <v>0</v>
      </c>
    </row>
    <row r="25" spans="2:12" hidden="1">
      <c r="B25" s="169">
        <v>10</v>
      </c>
      <c r="C25" s="197"/>
      <c r="D25" s="198"/>
      <c r="E25" s="198"/>
      <c r="F25" s="199"/>
      <c r="G25" s="987">
        <f>IF(Consolidado_A!$G$133&gt;=7.6%,-(0.0165+0.076)*F25,0)</f>
        <v>0</v>
      </c>
      <c r="H25" s="193"/>
      <c r="I25" s="561">
        <f t="shared" ref="I25:J47" si="2">F25*E25</f>
        <v>0</v>
      </c>
      <c r="J25" s="561">
        <f t="shared" si="2"/>
        <v>0</v>
      </c>
      <c r="K25" s="562"/>
      <c r="L25" s="561">
        <f t="shared" ref="L25:L47" si="3">IF(D25&gt;0,(I25*D25)/$D$6,0)</f>
        <v>0</v>
      </c>
    </row>
    <row r="26" spans="2:12" hidden="1">
      <c r="B26" s="169">
        <v>11</v>
      </c>
      <c r="C26" s="197"/>
      <c r="D26" s="198"/>
      <c r="E26" s="198"/>
      <c r="F26" s="199"/>
      <c r="G26" s="987">
        <f>IF(Consolidado_A!$G$133&gt;=7.6%,-(0.0165+0.076)*F26,0)</f>
        <v>0</v>
      </c>
      <c r="H26" s="193"/>
      <c r="I26" s="561">
        <f t="shared" si="2"/>
        <v>0</v>
      </c>
      <c r="J26" s="561">
        <f t="shared" si="2"/>
        <v>0</v>
      </c>
      <c r="K26" s="562"/>
      <c r="L26" s="561">
        <f t="shared" si="3"/>
        <v>0</v>
      </c>
    </row>
    <row r="27" spans="2:12" hidden="1">
      <c r="B27" s="169">
        <v>12</v>
      </c>
      <c r="C27" s="197"/>
      <c r="D27" s="198"/>
      <c r="E27" s="198"/>
      <c r="F27" s="199"/>
      <c r="G27" s="987">
        <f>IF(Consolidado_A!$G$133&gt;=7.6%,-(0.0165+0.076)*F27,0)</f>
        <v>0</v>
      </c>
      <c r="H27" s="193"/>
      <c r="I27" s="561">
        <f t="shared" si="2"/>
        <v>0</v>
      </c>
      <c r="J27" s="561">
        <f t="shared" si="2"/>
        <v>0</v>
      </c>
      <c r="K27" s="562"/>
      <c r="L27" s="561">
        <f t="shared" si="3"/>
        <v>0</v>
      </c>
    </row>
    <row r="28" spans="2:12" hidden="1">
      <c r="B28" s="169">
        <v>13</v>
      </c>
      <c r="C28" s="197"/>
      <c r="D28" s="198"/>
      <c r="E28" s="198"/>
      <c r="F28" s="199"/>
      <c r="G28" s="987">
        <f>IF(Consolidado_A!$G$133&gt;=7.6%,-(0.0165+0.076)*F28,0)</f>
        <v>0</v>
      </c>
      <c r="H28" s="193"/>
      <c r="I28" s="561">
        <f t="shared" si="2"/>
        <v>0</v>
      </c>
      <c r="J28" s="561">
        <f t="shared" si="2"/>
        <v>0</v>
      </c>
      <c r="K28" s="562"/>
      <c r="L28" s="561">
        <f t="shared" si="3"/>
        <v>0</v>
      </c>
    </row>
    <row r="29" spans="2:12" hidden="1">
      <c r="B29" s="169">
        <v>14</v>
      </c>
      <c r="C29" s="197"/>
      <c r="D29" s="198"/>
      <c r="E29" s="198"/>
      <c r="F29" s="199"/>
      <c r="G29" s="987">
        <f>IF(Consolidado_A!$G$133&gt;=7.6%,-(0.0165+0.076)*F29,0)</f>
        <v>0</v>
      </c>
      <c r="H29" s="193"/>
      <c r="I29" s="561">
        <f t="shared" si="2"/>
        <v>0</v>
      </c>
      <c r="J29" s="561">
        <f t="shared" si="2"/>
        <v>0</v>
      </c>
      <c r="K29" s="562"/>
      <c r="L29" s="561">
        <f t="shared" si="3"/>
        <v>0</v>
      </c>
    </row>
    <row r="30" spans="2:12" hidden="1">
      <c r="B30" s="169">
        <v>15</v>
      </c>
      <c r="C30" s="197"/>
      <c r="D30" s="198"/>
      <c r="E30" s="198"/>
      <c r="F30" s="199"/>
      <c r="G30" s="987">
        <f>IF(Consolidado_A!$G$133&gt;=7.6%,-(0.0165+0.076)*F30,0)</f>
        <v>0</v>
      </c>
      <c r="H30" s="193"/>
      <c r="I30" s="561">
        <f t="shared" si="2"/>
        <v>0</v>
      </c>
      <c r="J30" s="561">
        <f t="shared" si="2"/>
        <v>0</v>
      </c>
      <c r="K30" s="562"/>
      <c r="L30" s="561">
        <f t="shared" si="3"/>
        <v>0</v>
      </c>
    </row>
    <row r="31" spans="2:12" hidden="1">
      <c r="B31" s="169">
        <v>16</v>
      </c>
      <c r="C31" s="197"/>
      <c r="D31" s="198"/>
      <c r="E31" s="198"/>
      <c r="F31" s="199"/>
      <c r="G31" s="987">
        <f>IF(Consolidado_A!$G$133&gt;=7.6%,-(0.0165+0.076)*F31,0)</f>
        <v>0</v>
      </c>
      <c r="H31" s="193"/>
      <c r="I31" s="561">
        <f t="shared" si="2"/>
        <v>0</v>
      </c>
      <c r="J31" s="561">
        <f t="shared" si="2"/>
        <v>0</v>
      </c>
      <c r="K31" s="562"/>
      <c r="L31" s="561">
        <f t="shared" si="3"/>
        <v>0</v>
      </c>
    </row>
    <row r="32" spans="2:12" hidden="1">
      <c r="B32" s="169">
        <v>17</v>
      </c>
      <c r="C32" s="197"/>
      <c r="D32" s="198"/>
      <c r="E32" s="198"/>
      <c r="F32" s="199"/>
      <c r="G32" s="987">
        <f>IF(Consolidado_A!$G$133&gt;=7.6%,-(0.0165+0.076)*F32,0)</f>
        <v>0</v>
      </c>
      <c r="H32" s="193"/>
      <c r="I32" s="561">
        <f t="shared" si="2"/>
        <v>0</v>
      </c>
      <c r="J32" s="561">
        <f t="shared" si="2"/>
        <v>0</v>
      </c>
      <c r="K32" s="562"/>
      <c r="L32" s="561">
        <f t="shared" si="3"/>
        <v>0</v>
      </c>
    </row>
    <row r="33" spans="2:12" hidden="1">
      <c r="B33" s="169">
        <v>18</v>
      </c>
      <c r="C33" s="197"/>
      <c r="D33" s="198"/>
      <c r="E33" s="198"/>
      <c r="F33" s="199"/>
      <c r="G33" s="987">
        <f>IF(Consolidado_A!$G$133&gt;=7.6%,-(0.0165+0.076)*F33,0)</f>
        <v>0</v>
      </c>
      <c r="H33" s="193"/>
      <c r="I33" s="561">
        <f t="shared" si="2"/>
        <v>0</v>
      </c>
      <c r="J33" s="561">
        <f t="shared" si="2"/>
        <v>0</v>
      </c>
      <c r="K33" s="562"/>
      <c r="L33" s="561">
        <f t="shared" si="3"/>
        <v>0</v>
      </c>
    </row>
    <row r="34" spans="2:12" hidden="1">
      <c r="B34" s="169">
        <v>19</v>
      </c>
      <c r="C34" s="197"/>
      <c r="D34" s="200"/>
      <c r="E34" s="200"/>
      <c r="F34" s="201"/>
      <c r="G34" s="987">
        <f>IF(Consolidado_A!$G$133&gt;=7.6%,-(0.0165+0.076)*F34,0)</f>
        <v>0</v>
      </c>
      <c r="H34" s="193"/>
      <c r="I34" s="561">
        <f t="shared" si="2"/>
        <v>0</v>
      </c>
      <c r="J34" s="561">
        <f t="shared" si="2"/>
        <v>0</v>
      </c>
      <c r="K34" s="562"/>
      <c r="L34" s="561">
        <f t="shared" si="3"/>
        <v>0</v>
      </c>
    </row>
    <row r="35" spans="2:12" hidden="1">
      <c r="B35" s="169">
        <v>20</v>
      </c>
      <c r="C35" s="197"/>
      <c r="D35" s="200"/>
      <c r="E35" s="200"/>
      <c r="F35" s="201"/>
      <c r="G35" s="987">
        <f>IF(Consolidado_A!$G$133&gt;=7.6%,-(0.0165+0.076)*F35,0)</f>
        <v>0</v>
      </c>
      <c r="H35" s="193"/>
      <c r="I35" s="561">
        <f t="shared" si="2"/>
        <v>0</v>
      </c>
      <c r="J35" s="561">
        <f t="shared" si="2"/>
        <v>0</v>
      </c>
      <c r="K35" s="562"/>
      <c r="L35" s="561">
        <f t="shared" si="3"/>
        <v>0</v>
      </c>
    </row>
    <row r="36" spans="2:12" hidden="1">
      <c r="B36" s="169">
        <v>21</v>
      </c>
      <c r="C36" s="197"/>
      <c r="D36" s="200"/>
      <c r="E36" s="200"/>
      <c r="F36" s="201"/>
      <c r="G36" s="987">
        <f>IF(Consolidado_A!$G$133&gt;=7.6%,-(0.0165+0.076)*F36,0)</f>
        <v>0</v>
      </c>
      <c r="H36" s="193"/>
      <c r="I36" s="561">
        <f t="shared" si="2"/>
        <v>0</v>
      </c>
      <c r="J36" s="561">
        <f t="shared" si="2"/>
        <v>0</v>
      </c>
      <c r="K36" s="562"/>
      <c r="L36" s="561">
        <f t="shared" si="3"/>
        <v>0</v>
      </c>
    </row>
    <row r="37" spans="2:12" hidden="1">
      <c r="B37" s="169">
        <v>22</v>
      </c>
      <c r="C37" s="197"/>
      <c r="D37" s="200"/>
      <c r="E37" s="200"/>
      <c r="F37" s="201"/>
      <c r="G37" s="987">
        <f>IF(Consolidado_A!$G$133&gt;=7.6%,-(0.0165+0.076)*F37,0)</f>
        <v>0</v>
      </c>
      <c r="H37" s="193"/>
      <c r="I37" s="561">
        <f t="shared" si="2"/>
        <v>0</v>
      </c>
      <c r="J37" s="561">
        <f t="shared" si="2"/>
        <v>0</v>
      </c>
      <c r="K37" s="562"/>
      <c r="L37" s="561">
        <f t="shared" si="3"/>
        <v>0</v>
      </c>
    </row>
    <row r="38" spans="2:12" hidden="1">
      <c r="B38" s="169">
        <v>23</v>
      </c>
      <c r="C38" s="197"/>
      <c r="D38" s="200"/>
      <c r="E38" s="200"/>
      <c r="F38" s="201"/>
      <c r="G38" s="987">
        <f>IF(Consolidado_A!$G$133&gt;=7.6%,-(0.0165+0.076)*F38,0)</f>
        <v>0</v>
      </c>
      <c r="H38" s="193"/>
      <c r="I38" s="561">
        <f t="shared" si="2"/>
        <v>0</v>
      </c>
      <c r="J38" s="561">
        <f t="shared" si="2"/>
        <v>0</v>
      </c>
      <c r="K38" s="562"/>
      <c r="L38" s="561">
        <f t="shared" si="3"/>
        <v>0</v>
      </c>
    </row>
    <row r="39" spans="2:12" hidden="1">
      <c r="B39" s="169">
        <v>24</v>
      </c>
      <c r="C39" s="197"/>
      <c r="D39" s="200"/>
      <c r="E39" s="200"/>
      <c r="F39" s="201"/>
      <c r="G39" s="987">
        <f>IF(Consolidado_A!$G$133&gt;=7.6%,-(0.0165+0.076)*F39,0)</f>
        <v>0</v>
      </c>
      <c r="H39" s="193"/>
      <c r="I39" s="561">
        <f t="shared" si="2"/>
        <v>0</v>
      </c>
      <c r="J39" s="561">
        <f t="shared" si="2"/>
        <v>0</v>
      </c>
      <c r="K39" s="562"/>
      <c r="L39" s="561">
        <f t="shared" si="3"/>
        <v>0</v>
      </c>
    </row>
    <row r="40" spans="2:12" hidden="1">
      <c r="B40" s="169">
        <v>25</v>
      </c>
      <c r="C40" s="197"/>
      <c r="D40" s="200"/>
      <c r="E40" s="200"/>
      <c r="F40" s="201"/>
      <c r="G40" s="987">
        <f>IF(Consolidado_A!$G$133&gt;=7.6%,-(0.0165+0.076)*F40,0)</f>
        <v>0</v>
      </c>
      <c r="H40" s="193"/>
      <c r="I40" s="561">
        <f t="shared" si="2"/>
        <v>0</v>
      </c>
      <c r="J40" s="561">
        <f t="shared" si="2"/>
        <v>0</v>
      </c>
      <c r="K40" s="562"/>
      <c r="L40" s="561">
        <f t="shared" si="3"/>
        <v>0</v>
      </c>
    </row>
    <row r="41" spans="2:12" hidden="1">
      <c r="B41" s="169">
        <v>26</v>
      </c>
      <c r="C41" s="197"/>
      <c r="D41" s="200"/>
      <c r="E41" s="200"/>
      <c r="F41" s="201"/>
      <c r="G41" s="987">
        <f>IF(Consolidado_A!$G$133&gt;=7.6%,-(0.0165+0.076)*F41,0)</f>
        <v>0</v>
      </c>
      <c r="H41" s="193"/>
      <c r="I41" s="561">
        <f t="shared" si="2"/>
        <v>0</v>
      </c>
      <c r="J41" s="561">
        <f t="shared" si="2"/>
        <v>0</v>
      </c>
      <c r="K41" s="562"/>
      <c r="L41" s="561">
        <f t="shared" si="3"/>
        <v>0</v>
      </c>
    </row>
    <row r="42" spans="2:12" hidden="1">
      <c r="B42" s="169">
        <v>27</v>
      </c>
      <c r="C42" s="197"/>
      <c r="D42" s="200"/>
      <c r="E42" s="200"/>
      <c r="F42" s="201"/>
      <c r="G42" s="987">
        <f>IF(Consolidado_A!$G$133&gt;=7.6%,-(0.0165+0.076)*F42,0)</f>
        <v>0</v>
      </c>
      <c r="H42" s="193"/>
      <c r="I42" s="561">
        <f t="shared" si="2"/>
        <v>0</v>
      </c>
      <c r="J42" s="561">
        <f t="shared" si="2"/>
        <v>0</v>
      </c>
      <c r="K42" s="562"/>
      <c r="L42" s="561">
        <f t="shared" si="3"/>
        <v>0</v>
      </c>
    </row>
    <row r="43" spans="2:12" hidden="1">
      <c r="B43" s="169">
        <v>28</v>
      </c>
      <c r="C43" s="197"/>
      <c r="D43" s="200"/>
      <c r="E43" s="200"/>
      <c r="F43" s="201"/>
      <c r="G43" s="987">
        <f>IF(Consolidado_A!$G$133&gt;=7.6%,-(0.0165+0.076)*F43,0)</f>
        <v>0</v>
      </c>
      <c r="H43" s="193"/>
      <c r="I43" s="561">
        <f t="shared" si="2"/>
        <v>0</v>
      </c>
      <c r="J43" s="561">
        <f t="shared" si="2"/>
        <v>0</v>
      </c>
      <c r="K43" s="562"/>
      <c r="L43" s="561">
        <f t="shared" si="3"/>
        <v>0</v>
      </c>
    </row>
    <row r="44" spans="2:12" hidden="1">
      <c r="B44" s="169">
        <v>29</v>
      </c>
      <c r="C44" s="197"/>
      <c r="D44" s="200"/>
      <c r="E44" s="200"/>
      <c r="F44" s="201"/>
      <c r="G44" s="987">
        <f>IF(Consolidado_A!$G$133&gt;=7.6%,-(0.0165+0.076)*F44,0)</f>
        <v>0</v>
      </c>
      <c r="H44" s="193"/>
      <c r="I44" s="561">
        <f t="shared" si="2"/>
        <v>0</v>
      </c>
      <c r="J44" s="561">
        <f t="shared" si="2"/>
        <v>0</v>
      </c>
      <c r="K44" s="562"/>
      <c r="L44" s="561">
        <f t="shared" si="3"/>
        <v>0</v>
      </c>
    </row>
    <row r="45" spans="2:12" hidden="1">
      <c r="B45" s="169">
        <v>30</v>
      </c>
      <c r="C45" s="197"/>
      <c r="D45" s="200"/>
      <c r="E45" s="200"/>
      <c r="F45" s="201"/>
      <c r="G45" s="987">
        <f>IF(Consolidado_A!$G$133&gt;=7.6%,-(0.0165+0.076)*F45,0)</f>
        <v>0</v>
      </c>
      <c r="H45" s="193"/>
      <c r="I45" s="561">
        <f t="shared" si="2"/>
        <v>0</v>
      </c>
      <c r="J45" s="561">
        <f t="shared" si="2"/>
        <v>0</v>
      </c>
      <c r="K45" s="562"/>
      <c r="L45" s="561">
        <f t="shared" si="3"/>
        <v>0</v>
      </c>
    </row>
    <row r="46" spans="2:12" hidden="1">
      <c r="B46" s="169">
        <v>31</v>
      </c>
      <c r="C46" s="197"/>
      <c r="D46" s="200"/>
      <c r="E46" s="200"/>
      <c r="F46" s="201"/>
      <c r="G46" s="987">
        <f>IF(Consolidado_A!$G$133&gt;=7.6%,-(0.0165+0.076)*F46,0)</f>
        <v>0</v>
      </c>
      <c r="H46" s="193"/>
      <c r="I46" s="561">
        <f t="shared" si="2"/>
        <v>0</v>
      </c>
      <c r="J46" s="561">
        <f t="shared" si="2"/>
        <v>0</v>
      </c>
      <c r="K46" s="562"/>
      <c r="L46" s="561">
        <f t="shared" si="3"/>
        <v>0</v>
      </c>
    </row>
    <row r="47" spans="2:12" hidden="1">
      <c r="B47" s="169">
        <v>32</v>
      </c>
      <c r="C47" s="197"/>
      <c r="D47" s="200"/>
      <c r="E47" s="200"/>
      <c r="F47" s="201"/>
      <c r="G47" s="987">
        <f>IF(Consolidado_A!$G$133&gt;=7.6%,-(0.0165+0.076)*F47,0)</f>
        <v>0</v>
      </c>
      <c r="H47" s="193"/>
      <c r="I47" s="561">
        <f t="shared" si="2"/>
        <v>0</v>
      </c>
      <c r="J47" s="561">
        <f t="shared" si="2"/>
        <v>0</v>
      </c>
      <c r="K47" s="562"/>
      <c r="L47" s="561">
        <f t="shared" si="3"/>
        <v>0</v>
      </c>
    </row>
    <row r="48" spans="2:12" hidden="1">
      <c r="B48" s="169">
        <v>33</v>
      </c>
      <c r="C48" s="197"/>
      <c r="D48" s="200"/>
      <c r="E48" s="200"/>
      <c r="F48" s="201"/>
      <c r="G48" s="987">
        <f>IF(Consolidado_A!$G$133&gt;=7.6%,-(0.0165+0.076)*F48,0)</f>
        <v>0</v>
      </c>
      <c r="H48" s="193"/>
      <c r="I48" s="561">
        <f t="shared" ref="I48:J75" si="4">F48*E48</f>
        <v>0</v>
      </c>
      <c r="J48" s="561">
        <f t="shared" si="4"/>
        <v>0</v>
      </c>
      <c r="K48" s="562"/>
      <c r="L48" s="561">
        <f t="shared" ref="L48:L75" si="5">IF(D48&gt;0,(I48*D48)/$D$6,0)</f>
        <v>0</v>
      </c>
    </row>
    <row r="49" spans="2:12" hidden="1">
      <c r="B49" s="169">
        <v>34</v>
      </c>
      <c r="C49" s="197"/>
      <c r="D49" s="200"/>
      <c r="E49" s="200"/>
      <c r="F49" s="201"/>
      <c r="G49" s="987">
        <f>IF(Consolidado_A!$G$133&gt;=7.6%,-(0.0165+0.076)*F49,0)</f>
        <v>0</v>
      </c>
      <c r="H49" s="193"/>
      <c r="I49" s="561">
        <f t="shared" si="4"/>
        <v>0</v>
      </c>
      <c r="J49" s="561">
        <f t="shared" si="4"/>
        <v>0</v>
      </c>
      <c r="K49" s="562"/>
      <c r="L49" s="561">
        <f t="shared" si="5"/>
        <v>0</v>
      </c>
    </row>
    <row r="50" spans="2:12" hidden="1">
      <c r="B50" s="169">
        <v>35</v>
      </c>
      <c r="C50" s="197"/>
      <c r="D50" s="200"/>
      <c r="E50" s="200"/>
      <c r="F50" s="201"/>
      <c r="G50" s="987">
        <f>IF(Consolidado_A!$G$133&gt;=7.6%,-(0.0165+0.076)*F50,0)</f>
        <v>0</v>
      </c>
      <c r="H50" s="193"/>
      <c r="I50" s="561">
        <f t="shared" si="4"/>
        <v>0</v>
      </c>
      <c r="J50" s="561">
        <f t="shared" si="4"/>
        <v>0</v>
      </c>
      <c r="K50" s="562"/>
      <c r="L50" s="561">
        <f t="shared" si="5"/>
        <v>0</v>
      </c>
    </row>
    <row r="51" spans="2:12" hidden="1">
      <c r="B51" s="169">
        <v>36</v>
      </c>
      <c r="C51" s="197"/>
      <c r="D51" s="200"/>
      <c r="E51" s="200"/>
      <c r="F51" s="201"/>
      <c r="G51" s="987">
        <f>IF(Consolidado_A!$G$133&gt;=7.6%,-(0.0165+0.076)*F51,0)</f>
        <v>0</v>
      </c>
      <c r="H51" s="193"/>
      <c r="I51" s="561">
        <f t="shared" si="4"/>
        <v>0</v>
      </c>
      <c r="J51" s="561">
        <f t="shared" si="4"/>
        <v>0</v>
      </c>
      <c r="K51" s="562"/>
      <c r="L51" s="561">
        <f t="shared" si="5"/>
        <v>0</v>
      </c>
    </row>
    <row r="52" spans="2:12" hidden="1">
      <c r="B52" s="169">
        <v>37</v>
      </c>
      <c r="C52" s="197"/>
      <c r="D52" s="200"/>
      <c r="E52" s="200"/>
      <c r="F52" s="201"/>
      <c r="G52" s="987">
        <f>IF(Consolidado_A!$G$133&gt;=7.6%,-(0.0165+0.076)*F52,0)</f>
        <v>0</v>
      </c>
      <c r="H52" s="193"/>
      <c r="I52" s="561">
        <f t="shared" si="4"/>
        <v>0</v>
      </c>
      <c r="J52" s="561">
        <f t="shared" si="4"/>
        <v>0</v>
      </c>
      <c r="K52" s="562"/>
      <c r="L52" s="561">
        <f t="shared" si="5"/>
        <v>0</v>
      </c>
    </row>
    <row r="53" spans="2:12" hidden="1">
      <c r="B53" s="169">
        <v>38</v>
      </c>
      <c r="C53" s="197"/>
      <c r="D53" s="200"/>
      <c r="E53" s="200"/>
      <c r="F53" s="201"/>
      <c r="G53" s="987">
        <f>IF(Consolidado_A!$G$133&gt;=7.6%,-(0.0165+0.076)*F53,0)</f>
        <v>0</v>
      </c>
      <c r="H53" s="193"/>
      <c r="I53" s="561">
        <f t="shared" si="4"/>
        <v>0</v>
      </c>
      <c r="J53" s="561">
        <f t="shared" si="4"/>
        <v>0</v>
      </c>
      <c r="K53" s="562"/>
      <c r="L53" s="561">
        <f t="shared" si="5"/>
        <v>0</v>
      </c>
    </row>
    <row r="54" spans="2:12" hidden="1">
      <c r="B54" s="169">
        <v>39</v>
      </c>
      <c r="C54" s="197"/>
      <c r="D54" s="200"/>
      <c r="E54" s="200"/>
      <c r="F54" s="201"/>
      <c r="G54" s="987">
        <f>IF(Consolidado_A!$G$133&gt;=7.6%,-(0.0165+0.076)*F54,0)</f>
        <v>0</v>
      </c>
      <c r="H54" s="193"/>
      <c r="I54" s="561">
        <f t="shared" si="4"/>
        <v>0</v>
      </c>
      <c r="J54" s="561">
        <f t="shared" si="4"/>
        <v>0</v>
      </c>
      <c r="K54" s="562"/>
      <c r="L54" s="561">
        <f t="shared" si="5"/>
        <v>0</v>
      </c>
    </row>
    <row r="55" spans="2:12" hidden="1">
      <c r="B55" s="169">
        <v>40</v>
      </c>
      <c r="C55" s="197"/>
      <c r="D55" s="200"/>
      <c r="E55" s="200"/>
      <c r="F55" s="201"/>
      <c r="G55" s="987">
        <f>IF(Consolidado_A!$G$133&gt;=7.6%,-(0.0165+0.076)*F55,0)</f>
        <v>0</v>
      </c>
      <c r="H55" s="193"/>
      <c r="I55" s="561">
        <f t="shared" si="4"/>
        <v>0</v>
      </c>
      <c r="J55" s="561">
        <f t="shared" si="4"/>
        <v>0</v>
      </c>
      <c r="K55" s="562"/>
      <c r="L55" s="561">
        <f t="shared" si="5"/>
        <v>0</v>
      </c>
    </row>
    <row r="56" spans="2:12" hidden="1">
      <c r="B56" s="169">
        <v>41</v>
      </c>
      <c r="C56" s="197"/>
      <c r="D56" s="200"/>
      <c r="E56" s="200"/>
      <c r="F56" s="201"/>
      <c r="G56" s="987">
        <f>IF(Consolidado_A!$G$133&gt;=7.6%,-(0.0165+0.076)*F56,0)</f>
        <v>0</v>
      </c>
      <c r="H56" s="193"/>
      <c r="I56" s="561">
        <f t="shared" si="4"/>
        <v>0</v>
      </c>
      <c r="J56" s="561">
        <f t="shared" si="4"/>
        <v>0</v>
      </c>
      <c r="K56" s="562"/>
      <c r="L56" s="561">
        <f t="shared" si="5"/>
        <v>0</v>
      </c>
    </row>
    <row r="57" spans="2:12" hidden="1">
      <c r="B57" s="169">
        <v>42</v>
      </c>
      <c r="C57" s="197"/>
      <c r="D57" s="200"/>
      <c r="E57" s="200"/>
      <c r="F57" s="201"/>
      <c r="G57" s="987">
        <f>IF(Consolidado_A!$G$133&gt;=7.6%,-(0.0165+0.076)*F57,0)</f>
        <v>0</v>
      </c>
      <c r="H57" s="193"/>
      <c r="I57" s="561">
        <f t="shared" si="4"/>
        <v>0</v>
      </c>
      <c r="J57" s="561">
        <f t="shared" si="4"/>
        <v>0</v>
      </c>
      <c r="K57" s="562"/>
      <c r="L57" s="561">
        <f t="shared" si="5"/>
        <v>0</v>
      </c>
    </row>
    <row r="58" spans="2:12" hidden="1">
      <c r="B58" s="169">
        <v>43</v>
      </c>
      <c r="C58" s="197"/>
      <c r="D58" s="200"/>
      <c r="E58" s="200"/>
      <c r="F58" s="201"/>
      <c r="G58" s="987">
        <f>IF(Consolidado_A!$G$133&gt;=7.6%,-(0.0165+0.076)*F58,0)</f>
        <v>0</v>
      </c>
      <c r="H58" s="193"/>
      <c r="I58" s="561">
        <f t="shared" si="4"/>
        <v>0</v>
      </c>
      <c r="J58" s="561">
        <f t="shared" si="4"/>
        <v>0</v>
      </c>
      <c r="K58" s="562"/>
      <c r="L58" s="561">
        <f t="shared" si="5"/>
        <v>0</v>
      </c>
    </row>
    <row r="59" spans="2:12" hidden="1">
      <c r="B59" s="169">
        <v>44</v>
      </c>
      <c r="C59" s="197"/>
      <c r="D59" s="200"/>
      <c r="E59" s="200"/>
      <c r="F59" s="201"/>
      <c r="G59" s="987">
        <f>IF(Consolidado_A!$G$133&gt;=7.6%,-(0.0165+0.076)*F59,0)</f>
        <v>0</v>
      </c>
      <c r="H59" s="193"/>
      <c r="I59" s="561">
        <f t="shared" si="4"/>
        <v>0</v>
      </c>
      <c r="J59" s="561">
        <f t="shared" si="4"/>
        <v>0</v>
      </c>
      <c r="K59" s="562"/>
      <c r="L59" s="561">
        <f t="shared" si="5"/>
        <v>0</v>
      </c>
    </row>
    <row r="60" spans="2:12" hidden="1">
      <c r="B60" s="169">
        <v>45</v>
      </c>
      <c r="C60" s="197"/>
      <c r="D60" s="200"/>
      <c r="E60" s="200"/>
      <c r="F60" s="201"/>
      <c r="G60" s="987">
        <f>IF(Consolidado_A!$G$133&gt;=7.6%,-(0.0165+0.076)*F60,0)</f>
        <v>0</v>
      </c>
      <c r="H60" s="193"/>
      <c r="I60" s="561">
        <f t="shared" si="4"/>
        <v>0</v>
      </c>
      <c r="J60" s="561">
        <f t="shared" si="4"/>
        <v>0</v>
      </c>
      <c r="K60" s="562"/>
      <c r="L60" s="561">
        <f t="shared" si="5"/>
        <v>0</v>
      </c>
    </row>
    <row r="61" spans="2:12" hidden="1">
      <c r="B61" s="169">
        <v>46</v>
      </c>
      <c r="C61" s="197"/>
      <c r="D61" s="200"/>
      <c r="E61" s="200"/>
      <c r="F61" s="201"/>
      <c r="G61" s="987">
        <f>IF(Consolidado_A!$G$133&gt;=7.6%,-(0.0165+0.076)*F61,0)</f>
        <v>0</v>
      </c>
      <c r="H61" s="193"/>
      <c r="I61" s="561">
        <f t="shared" si="4"/>
        <v>0</v>
      </c>
      <c r="J61" s="561">
        <f t="shared" si="4"/>
        <v>0</v>
      </c>
      <c r="K61" s="562"/>
      <c r="L61" s="561">
        <f t="shared" si="5"/>
        <v>0</v>
      </c>
    </row>
    <row r="62" spans="2:12" hidden="1">
      <c r="B62" s="169">
        <v>47</v>
      </c>
      <c r="C62" s="197"/>
      <c r="D62" s="200"/>
      <c r="E62" s="200"/>
      <c r="F62" s="201"/>
      <c r="G62" s="987">
        <f>IF(Consolidado_A!$G$133&gt;=7.6%,-(0.0165+0.076)*F62,0)</f>
        <v>0</v>
      </c>
      <c r="H62" s="193"/>
      <c r="I62" s="561">
        <f t="shared" si="4"/>
        <v>0</v>
      </c>
      <c r="J62" s="561">
        <f t="shared" si="4"/>
        <v>0</v>
      </c>
      <c r="K62" s="562"/>
      <c r="L62" s="561">
        <f t="shared" si="5"/>
        <v>0</v>
      </c>
    </row>
    <row r="63" spans="2:12" hidden="1">
      <c r="B63" s="169">
        <v>48</v>
      </c>
      <c r="C63" s="197"/>
      <c r="D63" s="200"/>
      <c r="E63" s="200"/>
      <c r="F63" s="201"/>
      <c r="G63" s="987">
        <f>IF(Consolidado_A!$G$133&gt;=7.6%,-(0.0165+0.076)*F63,0)</f>
        <v>0</v>
      </c>
      <c r="H63" s="193"/>
      <c r="I63" s="561">
        <f t="shared" si="4"/>
        <v>0</v>
      </c>
      <c r="J63" s="561">
        <f t="shared" si="4"/>
        <v>0</v>
      </c>
      <c r="K63" s="562"/>
      <c r="L63" s="561">
        <f t="shared" si="5"/>
        <v>0</v>
      </c>
    </row>
    <row r="64" spans="2:12" hidden="1">
      <c r="B64" s="169">
        <v>49</v>
      </c>
      <c r="C64" s="197"/>
      <c r="D64" s="200"/>
      <c r="E64" s="200"/>
      <c r="F64" s="201"/>
      <c r="G64" s="987">
        <f>IF(Consolidado_A!$G$133&gt;=7.6%,-(0.0165+0.076)*F64,0)</f>
        <v>0</v>
      </c>
      <c r="H64" s="193"/>
      <c r="I64" s="561">
        <f t="shared" si="4"/>
        <v>0</v>
      </c>
      <c r="J64" s="561">
        <f t="shared" si="4"/>
        <v>0</v>
      </c>
      <c r="K64" s="562"/>
      <c r="L64" s="561">
        <f t="shared" si="5"/>
        <v>0</v>
      </c>
    </row>
    <row r="65" spans="2:12" hidden="1">
      <c r="B65" s="169">
        <v>50</v>
      </c>
      <c r="C65" s="197"/>
      <c r="D65" s="200"/>
      <c r="E65" s="200"/>
      <c r="F65" s="201"/>
      <c r="G65" s="987">
        <f>IF(Consolidado_A!$G$133&gt;=7.6%,-(0.0165+0.076)*F65,0)</f>
        <v>0</v>
      </c>
      <c r="H65" s="193"/>
      <c r="I65" s="561">
        <f t="shared" si="4"/>
        <v>0</v>
      </c>
      <c r="J65" s="561">
        <f t="shared" si="4"/>
        <v>0</v>
      </c>
      <c r="K65" s="562"/>
      <c r="L65" s="561">
        <f t="shared" si="5"/>
        <v>0</v>
      </c>
    </row>
    <row r="66" spans="2:12" hidden="1">
      <c r="B66" s="169">
        <v>51</v>
      </c>
      <c r="C66" s="197"/>
      <c r="D66" s="200"/>
      <c r="E66" s="200"/>
      <c r="F66" s="201"/>
      <c r="G66" s="987">
        <f>IF(Consolidado_A!$G$133&gt;=7.6%,-(0.0165+0.076)*F66,0)</f>
        <v>0</v>
      </c>
      <c r="H66" s="193"/>
      <c r="I66" s="561">
        <f t="shared" si="4"/>
        <v>0</v>
      </c>
      <c r="J66" s="561">
        <f t="shared" si="4"/>
        <v>0</v>
      </c>
      <c r="K66" s="562"/>
      <c r="L66" s="561">
        <f t="shared" si="5"/>
        <v>0</v>
      </c>
    </row>
    <row r="67" spans="2:12" hidden="1">
      <c r="B67" s="169">
        <v>52</v>
      </c>
      <c r="C67" s="197"/>
      <c r="D67" s="200"/>
      <c r="E67" s="200"/>
      <c r="F67" s="201"/>
      <c r="G67" s="987">
        <f>IF(Consolidado_A!$G$133&gt;=7.6%,-(0.0165+0.076)*F67,0)</f>
        <v>0</v>
      </c>
      <c r="H67" s="193"/>
      <c r="I67" s="561">
        <f t="shared" si="4"/>
        <v>0</v>
      </c>
      <c r="J67" s="561">
        <f t="shared" si="4"/>
        <v>0</v>
      </c>
      <c r="K67" s="562"/>
      <c r="L67" s="561">
        <f t="shared" si="5"/>
        <v>0</v>
      </c>
    </row>
    <row r="68" spans="2:12" hidden="1">
      <c r="B68" s="169">
        <v>53</v>
      </c>
      <c r="C68" s="197"/>
      <c r="D68" s="200"/>
      <c r="E68" s="200"/>
      <c r="F68" s="201"/>
      <c r="G68" s="987">
        <f>IF(Consolidado_A!$G$133&gt;=7.6%,-(0.0165+0.076)*F68,0)</f>
        <v>0</v>
      </c>
      <c r="H68" s="193"/>
      <c r="I68" s="561">
        <f t="shared" si="4"/>
        <v>0</v>
      </c>
      <c r="J68" s="561">
        <f t="shared" si="4"/>
        <v>0</v>
      </c>
      <c r="K68" s="562"/>
      <c r="L68" s="561">
        <f t="shared" si="5"/>
        <v>0</v>
      </c>
    </row>
    <row r="69" spans="2:12" hidden="1">
      <c r="B69" s="169">
        <v>54</v>
      </c>
      <c r="C69" s="197"/>
      <c r="D69" s="200"/>
      <c r="E69" s="200"/>
      <c r="F69" s="201"/>
      <c r="G69" s="987">
        <f>IF(Consolidado_A!$G$133&gt;=7.6%,-(0.0165+0.076)*F69,0)</f>
        <v>0</v>
      </c>
      <c r="H69" s="193"/>
      <c r="I69" s="561">
        <f t="shared" si="4"/>
        <v>0</v>
      </c>
      <c r="J69" s="561">
        <f t="shared" si="4"/>
        <v>0</v>
      </c>
      <c r="K69" s="562"/>
      <c r="L69" s="561">
        <f t="shared" si="5"/>
        <v>0</v>
      </c>
    </row>
    <row r="70" spans="2:12" hidden="1">
      <c r="B70" s="169">
        <v>55</v>
      </c>
      <c r="C70" s="197"/>
      <c r="D70" s="200"/>
      <c r="E70" s="200"/>
      <c r="F70" s="201"/>
      <c r="G70" s="987">
        <f>IF(Consolidado_A!$G$133&gt;=7.6%,-(0.0165+0.076)*F70,0)</f>
        <v>0</v>
      </c>
      <c r="H70" s="193"/>
      <c r="I70" s="561">
        <f t="shared" si="4"/>
        <v>0</v>
      </c>
      <c r="J70" s="561">
        <f t="shared" si="4"/>
        <v>0</v>
      </c>
      <c r="K70" s="562"/>
      <c r="L70" s="561">
        <f t="shared" si="5"/>
        <v>0</v>
      </c>
    </row>
    <row r="71" spans="2:12" hidden="1">
      <c r="B71" s="169">
        <v>56</v>
      </c>
      <c r="C71" s="197"/>
      <c r="D71" s="200"/>
      <c r="E71" s="200"/>
      <c r="F71" s="201"/>
      <c r="G71" s="987">
        <f>IF(Consolidado_A!$G$133&gt;=7.6%,-(0.0165+0.076)*F71,0)</f>
        <v>0</v>
      </c>
      <c r="H71" s="193"/>
      <c r="I71" s="561">
        <f t="shared" si="4"/>
        <v>0</v>
      </c>
      <c r="J71" s="561">
        <f t="shared" si="4"/>
        <v>0</v>
      </c>
      <c r="K71" s="562"/>
      <c r="L71" s="561">
        <f t="shared" si="5"/>
        <v>0</v>
      </c>
    </row>
    <row r="72" spans="2:12" hidden="1">
      <c r="B72" s="169">
        <v>57</v>
      </c>
      <c r="C72" s="197"/>
      <c r="D72" s="200"/>
      <c r="E72" s="200"/>
      <c r="F72" s="201"/>
      <c r="G72" s="987">
        <f>IF(Consolidado_A!$G$133&gt;=7.6%,-(0.0165+0.076)*F72,0)</f>
        <v>0</v>
      </c>
      <c r="H72" s="193"/>
      <c r="I72" s="561">
        <f t="shared" si="4"/>
        <v>0</v>
      </c>
      <c r="J72" s="561">
        <f t="shared" si="4"/>
        <v>0</v>
      </c>
      <c r="K72" s="562"/>
      <c r="L72" s="561">
        <f t="shared" si="5"/>
        <v>0</v>
      </c>
    </row>
    <row r="73" spans="2:12" hidden="1">
      <c r="B73" s="169">
        <v>58</v>
      </c>
      <c r="C73" s="197"/>
      <c r="D73" s="200"/>
      <c r="E73" s="200"/>
      <c r="F73" s="201"/>
      <c r="G73" s="987">
        <f>IF(Consolidado_A!$G$133&gt;=7.6%,-(0.0165+0.076)*F73,0)</f>
        <v>0</v>
      </c>
      <c r="H73" s="193"/>
      <c r="I73" s="561">
        <f t="shared" si="4"/>
        <v>0</v>
      </c>
      <c r="J73" s="561">
        <f t="shared" si="4"/>
        <v>0</v>
      </c>
      <c r="K73" s="562"/>
      <c r="L73" s="561">
        <f t="shared" si="5"/>
        <v>0</v>
      </c>
    </row>
    <row r="74" spans="2:12" hidden="1">
      <c r="B74" s="169">
        <v>59</v>
      </c>
      <c r="C74" s="197"/>
      <c r="D74" s="200"/>
      <c r="E74" s="200"/>
      <c r="F74" s="201"/>
      <c r="G74" s="987">
        <f>IF(Consolidado_A!$G$133&gt;=7.6%,-(0.0165+0.076)*F74,0)</f>
        <v>0</v>
      </c>
      <c r="H74" s="193"/>
      <c r="I74" s="561">
        <f t="shared" si="4"/>
        <v>0</v>
      </c>
      <c r="J74" s="561">
        <f t="shared" si="4"/>
        <v>0</v>
      </c>
      <c r="K74" s="562"/>
      <c r="L74" s="561">
        <f t="shared" si="5"/>
        <v>0</v>
      </c>
    </row>
    <row r="75" spans="2:12" ht="13.5" thickBot="1">
      <c r="B75" s="169">
        <v>60</v>
      </c>
      <c r="C75" s="202"/>
      <c r="D75" s="203"/>
      <c r="E75" s="203"/>
      <c r="F75" s="204"/>
      <c r="G75" s="204">
        <f>IF(Consolidado_A!$G$133&gt;=7.6%,-(0.0165+0.076)*F75,0)</f>
        <v>0</v>
      </c>
      <c r="H75" s="193"/>
      <c r="I75" s="563">
        <f t="shared" si="4"/>
        <v>0</v>
      </c>
      <c r="J75" s="563">
        <f t="shared" si="4"/>
        <v>0</v>
      </c>
      <c r="K75" s="562"/>
      <c r="L75" s="561">
        <f t="shared" si="5"/>
        <v>0</v>
      </c>
    </row>
    <row r="76" spans="2:12">
      <c r="C76" s="194"/>
      <c r="D76" s="195"/>
      <c r="E76" s="195"/>
      <c r="F76" s="196"/>
      <c r="G76" s="196"/>
      <c r="H76" s="193"/>
      <c r="I76" s="193"/>
      <c r="J76" s="193"/>
      <c r="K76" s="193"/>
      <c r="L76" s="193"/>
    </row>
    <row r="77" spans="2:12" ht="36.75" customHeight="1">
      <c r="C77" s="1119"/>
      <c r="D77" s="1119"/>
      <c r="E77" s="1119"/>
      <c r="F77" s="1119"/>
      <c r="G77" s="1119"/>
      <c r="H77" s="1119"/>
      <c r="I77" s="1119"/>
      <c r="J77" s="1119"/>
      <c r="K77" s="1119"/>
      <c r="L77" s="1119"/>
    </row>
  </sheetData>
  <sheetProtection formatColumns="0" formatRows="0"/>
  <mergeCells count="10">
    <mergeCell ref="I8:J8"/>
    <mergeCell ref="C2:L2"/>
    <mergeCell ref="C77:L77"/>
    <mergeCell ref="E6:F7"/>
    <mergeCell ref="C4:L4"/>
    <mergeCell ref="L8:M9"/>
    <mergeCell ref="D6:D7"/>
    <mergeCell ref="C6:C7"/>
    <mergeCell ref="L6:M7"/>
    <mergeCell ref="I6:J7"/>
  </mergeCells>
  <phoneticPr fontId="0" type="noConversion"/>
  <printOptions horizontalCentered="1"/>
  <pageMargins left="0.32" right="0.24" top="0.98425196850393704" bottom="0.98425196850393704" header="0.51181102362204722" footer="0.51181102362204722"/>
  <pageSetup paperSize="9" scale="90" orientation="portrait" blackAndWhite="1" horizontalDpi="300" verticalDpi="300" r:id="rId1"/>
  <headerFooter alignWithMargins="0">
    <oddFooter>&amp;R&amp;F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2" enableFormatConditionsCalculation="0">
    <tabColor indexed="32"/>
    <pageSetUpPr autoPageBreaks="0"/>
  </sheetPr>
  <dimension ref="B1:Q97"/>
  <sheetViews>
    <sheetView showGridLines="0" showZeros="0" workbookViewId="0">
      <selection activeCell="F21" sqref="F21"/>
    </sheetView>
  </sheetViews>
  <sheetFormatPr defaultRowHeight="12.75"/>
  <cols>
    <col min="1" max="1" width="2.7109375" style="229" customWidth="1"/>
    <col min="2" max="2" width="0.28515625" style="139" customWidth="1"/>
    <col min="3" max="3" width="9.5703125" style="229" customWidth="1"/>
    <col min="4" max="4" width="25.140625" style="229" customWidth="1"/>
    <col min="5" max="5" width="2.140625" style="229" customWidth="1"/>
    <col min="6" max="6" width="11" style="229" customWidth="1"/>
    <col min="7" max="7" width="2.140625" style="229" customWidth="1"/>
    <col min="8" max="8" width="13" style="229" customWidth="1"/>
    <col min="9" max="9" width="2.140625" style="229" customWidth="1"/>
    <col min="10" max="10" width="11.42578125" style="229" customWidth="1"/>
    <col min="11" max="11" width="2.140625" style="229" customWidth="1"/>
    <col min="12" max="12" width="12" style="229" customWidth="1"/>
    <col min="13" max="13" width="2.140625" style="229" customWidth="1"/>
    <col min="14" max="14" width="10.28515625" style="229" customWidth="1"/>
    <col min="15" max="15" width="2.140625" style="229" customWidth="1"/>
    <col min="16" max="16" width="13.140625" style="229" customWidth="1"/>
    <col min="17" max="17" width="1.85546875" style="229" customWidth="1"/>
    <col min="18" max="16384" width="9.140625" style="229"/>
  </cols>
  <sheetData>
    <row r="1" spans="2:16" ht="7.5" customHeight="1"/>
    <row r="2" spans="2:16" ht="16.5" customHeight="1"/>
    <row r="4" spans="2:16" ht="33.75" customHeight="1" thickBot="1">
      <c r="C4" s="1131" t="str">
        <f>Dados!C10</f>
        <v xml:space="preserve">Planilha de Custos e Formação de Preços de Serviços Contínuos de Falcoaria e Manejo de Fauna no Aeroporto Internacional de Navegantes - Ministro Victor Konder    
</v>
      </c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1132"/>
      <c r="O4" s="1132"/>
      <c r="P4" s="1133"/>
    </row>
    <row r="5" spans="2:16" ht="6" customHeight="1"/>
    <row r="6" spans="2:16" ht="6.75" customHeight="1"/>
    <row r="7" spans="2:16" ht="28.5" customHeight="1" thickBot="1">
      <c r="C7" s="1134" t="str">
        <f>Dados!C4</f>
        <v>Aeroporto Internacional de Navegantes - Ministro Victor Konder</v>
      </c>
      <c r="D7" s="1135"/>
      <c r="E7" s="1135"/>
      <c r="F7" s="1135"/>
      <c r="G7" s="1135"/>
      <c r="H7" s="1135"/>
      <c r="I7" s="1135"/>
      <c r="J7" s="1135"/>
      <c r="K7" s="1135"/>
      <c r="L7" s="1135"/>
      <c r="M7" s="1135"/>
      <c r="N7" s="1135"/>
      <c r="O7" s="1135"/>
      <c r="P7" s="1136"/>
    </row>
    <row r="8" spans="2:16" s="238" customFormat="1" ht="5.25" customHeight="1">
      <c r="B8" s="236"/>
      <c r="C8" s="177"/>
      <c r="D8" s="177"/>
      <c r="E8" s="177"/>
      <c r="F8" s="177"/>
      <c r="G8" s="177"/>
      <c r="H8" s="177"/>
      <c r="I8" s="177"/>
      <c r="J8" s="237"/>
      <c r="K8" s="237"/>
      <c r="L8" s="177"/>
      <c r="M8" s="177"/>
      <c r="N8" s="177"/>
      <c r="O8" s="177"/>
      <c r="P8" s="177"/>
    </row>
    <row r="9" spans="2:16" ht="16.5" customHeight="1" thickBot="1">
      <c r="C9" s="1137" t="s">
        <v>44</v>
      </c>
      <c r="D9" s="1138"/>
      <c r="E9" s="1138"/>
      <c r="F9" s="1138"/>
      <c r="G9" s="1138"/>
      <c r="H9" s="1138"/>
      <c r="I9" s="1138"/>
      <c r="J9" s="1138"/>
      <c r="K9" s="1138"/>
      <c r="L9" s="1138"/>
      <c r="M9" s="1138"/>
      <c r="N9" s="1138"/>
      <c r="O9" s="1138"/>
      <c r="P9" s="1139"/>
    </row>
    <row r="10" spans="2:16" ht="5.25" customHeight="1"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</row>
    <row r="11" spans="2:16">
      <c r="C11" s="1140" t="s">
        <v>40</v>
      </c>
      <c r="D11" s="1140"/>
      <c r="E11" s="227"/>
      <c r="F11" s="227"/>
      <c r="G11" s="227"/>
      <c r="H11" s="227"/>
      <c r="I11" s="227"/>
    </row>
    <row r="12" spans="2:16" ht="5.25" customHeight="1">
      <c r="C12" s="227"/>
      <c r="O12" s="144"/>
      <c r="P12" s="144"/>
    </row>
    <row r="13" spans="2:16" ht="36.75" customHeight="1" thickBot="1">
      <c r="C13" s="1141" t="s">
        <v>408</v>
      </c>
      <c r="D13" s="1142"/>
      <c r="E13" s="424"/>
      <c r="F13" s="423" t="s">
        <v>39</v>
      </c>
      <c r="G13" s="424"/>
      <c r="H13" s="423" t="s">
        <v>189</v>
      </c>
      <c r="I13" s="424"/>
      <c r="J13" s="423" t="s">
        <v>235</v>
      </c>
      <c r="K13" s="424"/>
      <c r="L13" s="423" t="s">
        <v>190</v>
      </c>
      <c r="M13" s="424"/>
      <c r="N13" s="423" t="s">
        <v>236</v>
      </c>
      <c r="O13" s="424"/>
      <c r="P13" s="422" t="s">
        <v>197</v>
      </c>
    </row>
    <row r="14" spans="2:16" ht="13.5" customHeight="1">
      <c r="C14" s="227"/>
      <c r="F14" s="227"/>
      <c r="G14" s="227"/>
      <c r="H14" s="240"/>
      <c r="I14" s="240"/>
      <c r="J14" s="241"/>
      <c r="K14" s="241"/>
      <c r="L14" s="242"/>
      <c r="M14" s="242"/>
      <c r="N14" s="240"/>
    </row>
    <row r="15" spans="2:16" s="243" customFormat="1" ht="23.25" customHeight="1" thickBot="1">
      <c r="B15" s="139"/>
      <c r="C15" s="1143">
        <f>Efetivo!D56</f>
        <v>3</v>
      </c>
      <c r="D15" s="1144"/>
      <c r="F15" s="425">
        <f>Efetivo!R56</f>
        <v>7127</v>
      </c>
      <c r="G15" s="244"/>
      <c r="H15" s="425">
        <f>Efetivo!Z56</f>
        <v>458.40000000000003</v>
      </c>
      <c r="I15" s="245"/>
      <c r="J15" s="426">
        <f>Efetivo!AD56+Efetivo!AF56</f>
        <v>196.63833766233776</v>
      </c>
      <c r="K15" s="246"/>
      <c r="L15" s="427">
        <f>Efetivo!AJ56</f>
        <v>0</v>
      </c>
      <c r="M15" s="247"/>
      <c r="N15" s="425">
        <f>SUM(Efetivo!AB56+Efetivo!AL56+Efetivo!AR56+Efetivo!AT56+Efetivo!AX56)</f>
        <v>0</v>
      </c>
      <c r="P15" s="425">
        <f>TRUNC((SUM(F15,H15,J15,L15,N15)),2)</f>
        <v>7782.03</v>
      </c>
    </row>
    <row r="16" spans="2:16" ht="7.5" customHeight="1">
      <c r="D16" s="248"/>
      <c r="F16" s="221"/>
      <c r="G16" s="221"/>
      <c r="H16" s="249"/>
      <c r="I16" s="179"/>
      <c r="J16" s="250"/>
      <c r="K16" s="250"/>
      <c r="L16" s="242"/>
      <c r="M16" s="242"/>
      <c r="N16" s="240"/>
      <c r="P16" s="240"/>
    </row>
    <row r="17" spans="3:16" ht="22.5" customHeight="1" thickBot="1">
      <c r="C17" s="1143">
        <f>Consolidado_A!F61</f>
        <v>0</v>
      </c>
      <c r="D17" s="1144"/>
      <c r="F17" s="396" t="s">
        <v>524</v>
      </c>
      <c r="G17" s="221"/>
      <c r="H17" s="834"/>
      <c r="I17" s="835"/>
      <c r="J17" s="836"/>
      <c r="K17" s="836"/>
      <c r="L17" s="837"/>
      <c r="M17" s="837"/>
      <c r="N17" s="838">
        <f>IF(Efetivo!AX56&gt;0,"Valor não incluso no cálculo dos Encargos Sociais:",0)</f>
        <v>0</v>
      </c>
      <c r="O17" s="836"/>
      <c r="P17" s="839">
        <f>-Efetivo!AX56</f>
        <v>0</v>
      </c>
    </row>
    <row r="18" spans="3:16" ht="7.5" customHeight="1">
      <c r="D18" s="248"/>
      <c r="F18" s="221"/>
      <c r="G18" s="221"/>
      <c r="H18" s="249"/>
      <c r="I18" s="179"/>
      <c r="J18" s="250"/>
      <c r="K18" s="250"/>
      <c r="L18" s="242"/>
      <c r="M18" s="242"/>
      <c r="N18" s="240"/>
      <c r="P18" s="240"/>
    </row>
    <row r="19" spans="3:16" ht="15.75" customHeight="1" thickBot="1">
      <c r="E19" s="186"/>
      <c r="F19" s="382" t="s">
        <v>191</v>
      </c>
      <c r="G19" s="186"/>
      <c r="H19" s="397"/>
      <c r="I19" s="397"/>
      <c r="J19" s="397"/>
      <c r="K19" s="397"/>
      <c r="L19" s="398"/>
      <c r="M19" s="251"/>
      <c r="N19" s="428">
        <f>IF(P19&gt;0,(P19*100%)/F$75,0)</f>
        <v>0.23659915114073066</v>
      </c>
      <c r="O19" s="252"/>
      <c r="P19" s="429">
        <f>P15+P17</f>
        <v>7782.03</v>
      </c>
    </row>
    <row r="20" spans="3:16" ht="16.5" customHeight="1"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253"/>
    </row>
    <row r="21" spans="3:16" ht="16.5" customHeight="1" thickBot="1">
      <c r="C21" s="395" t="s">
        <v>101</v>
      </c>
      <c r="D21" s="188"/>
      <c r="E21" s="188"/>
      <c r="F21" s="380">
        <f>'E S'!F47</f>
        <v>0.69502857777777782</v>
      </c>
      <c r="G21" s="188"/>
      <c r="I21" s="399" t="s">
        <v>245</v>
      </c>
      <c r="J21" s="392"/>
      <c r="L21" s="393" t="s">
        <v>99</v>
      </c>
      <c r="M21" s="256"/>
      <c r="N21" s="428">
        <f>IF(P21&gt;0,(P21*100%)/F$75,0)</f>
        <v>0.16444307291920027</v>
      </c>
      <c r="O21" s="242"/>
      <c r="P21" s="430">
        <f>SUM(Consolidado_A!L98)</f>
        <v>5408.73</v>
      </c>
    </row>
    <row r="22" spans="3:16" ht="15.75" customHeight="1">
      <c r="C22" s="188"/>
      <c r="D22" s="188"/>
      <c r="E22" s="188"/>
      <c r="F22" s="224"/>
      <c r="G22" s="188"/>
      <c r="I22" s="254"/>
      <c r="L22" s="255"/>
      <c r="M22" s="256"/>
      <c r="N22" s="242"/>
      <c r="O22" s="242"/>
      <c r="P22" s="257"/>
    </row>
    <row r="23" spans="3:16" ht="22.5" customHeight="1" thickBot="1">
      <c r="C23" s="433"/>
      <c r="D23" s="434"/>
      <c r="E23" s="434"/>
      <c r="F23" s="435" t="s">
        <v>495</v>
      </c>
      <c r="G23" s="434"/>
      <c r="H23" s="436"/>
      <c r="I23" s="437"/>
      <c r="J23" s="436"/>
      <c r="K23" s="436"/>
      <c r="L23" s="421"/>
      <c r="M23" s="438"/>
      <c r="N23" s="439"/>
      <c r="O23" s="400"/>
      <c r="P23" s="429">
        <f>SUM(P15,P21)</f>
        <v>13190.759999999998</v>
      </c>
    </row>
    <row r="24" spans="3:16" ht="12" customHeight="1">
      <c r="C24" s="395"/>
      <c r="D24" s="395"/>
      <c r="E24" s="395"/>
      <c r="F24" s="395"/>
      <c r="G24" s="395"/>
      <c r="H24" s="401"/>
      <c r="I24" s="401"/>
      <c r="J24" s="402"/>
      <c r="K24" s="402"/>
      <c r="L24" s="403"/>
      <c r="M24" s="403"/>
      <c r="N24" s="400"/>
      <c r="O24" s="400"/>
      <c r="P24" s="404"/>
    </row>
    <row r="25" spans="3:16" ht="23.25" customHeight="1" thickBot="1">
      <c r="C25" s="1137" t="s">
        <v>80</v>
      </c>
      <c r="D25" s="1138"/>
      <c r="E25" s="1138"/>
      <c r="F25" s="1138"/>
      <c r="G25" s="1138"/>
      <c r="H25" s="1138"/>
      <c r="I25" s="1138"/>
      <c r="J25" s="1138"/>
      <c r="K25" s="1138"/>
      <c r="L25" s="1138"/>
      <c r="M25" s="1138"/>
      <c r="N25" s="1138"/>
      <c r="O25" s="1138"/>
      <c r="P25" s="1139"/>
    </row>
    <row r="26" spans="3:16" ht="6.75" customHeight="1">
      <c r="C26" s="395"/>
      <c r="D26" s="395"/>
      <c r="E26" s="395"/>
      <c r="F26" s="395"/>
      <c r="G26" s="395"/>
      <c r="H26" s="401"/>
      <c r="I26" s="401"/>
      <c r="J26" s="402"/>
      <c r="K26" s="402"/>
      <c r="L26" s="403"/>
      <c r="M26" s="403"/>
      <c r="N26" s="400"/>
      <c r="O26" s="400"/>
      <c r="P26" s="404"/>
    </row>
    <row r="27" spans="3:16" ht="15.75" customHeight="1" thickBot="1">
      <c r="C27" s="1140" t="s">
        <v>80</v>
      </c>
      <c r="D27" s="1140"/>
      <c r="E27" s="1140"/>
      <c r="F27" s="1140"/>
      <c r="G27" s="1140"/>
      <c r="H27" s="1140"/>
      <c r="I27" s="396"/>
      <c r="J27" s="405"/>
      <c r="K27" s="405"/>
      <c r="L27" s="405"/>
      <c r="M27" s="405"/>
      <c r="N27" s="431" t="s">
        <v>121</v>
      </c>
      <c r="O27" s="444"/>
      <c r="P27" s="158" t="s">
        <v>116</v>
      </c>
    </row>
    <row r="28" spans="3:16" ht="5.25" customHeight="1"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</row>
    <row r="29" spans="3:16" ht="13.5" thickBot="1">
      <c r="C29" s="406" t="s">
        <v>199</v>
      </c>
      <c r="D29" s="406"/>
      <c r="E29" s="406"/>
      <c r="F29" s="406"/>
      <c r="G29" s="406"/>
      <c r="H29" s="406"/>
      <c r="I29" s="406"/>
      <c r="J29" s="407"/>
      <c r="K29" s="407"/>
      <c r="L29" s="408"/>
      <c r="M29" s="409"/>
      <c r="N29" s="428">
        <f>IF(P29&gt;0,((P29*100%)/$F$75),0)</f>
        <v>2.0285061049764075E-2</v>
      </c>
      <c r="O29" s="400"/>
      <c r="P29" s="432">
        <f>Benefícios!Z4</f>
        <v>667.2</v>
      </c>
    </row>
    <row r="30" spans="3:16" ht="4.5" customHeight="1">
      <c r="C30" s="406"/>
      <c r="D30" s="406"/>
      <c r="E30" s="406"/>
      <c r="F30" s="406"/>
      <c r="G30" s="406"/>
      <c r="H30" s="406"/>
      <c r="I30" s="406"/>
      <c r="J30" s="407"/>
      <c r="K30" s="407"/>
      <c r="L30" s="409"/>
      <c r="M30" s="409"/>
      <c r="N30" s="394"/>
      <c r="O30" s="400"/>
      <c r="P30" s="407"/>
    </row>
    <row r="31" spans="3:16" ht="13.5" thickBot="1">
      <c r="C31" s="406" t="s">
        <v>94</v>
      </c>
      <c r="D31" s="406"/>
      <c r="E31" s="406"/>
      <c r="F31" s="406"/>
      <c r="G31" s="406"/>
      <c r="H31" s="406"/>
      <c r="I31" s="406"/>
      <c r="J31" s="407"/>
      <c r="K31" s="407"/>
      <c r="L31" s="409"/>
      <c r="M31" s="409"/>
      <c r="N31" s="428">
        <f>IF(P31&gt;0,((P31*100%)/$F$75),0)</f>
        <v>0</v>
      </c>
      <c r="O31" s="400"/>
      <c r="P31" s="432">
        <f>Benefícios!AH4</f>
        <v>0</v>
      </c>
    </row>
    <row r="32" spans="3:16" ht="3.75" customHeight="1">
      <c r="C32" s="406"/>
      <c r="D32" s="406"/>
      <c r="E32" s="406"/>
      <c r="F32" s="406"/>
      <c r="G32" s="406"/>
      <c r="H32" s="406"/>
      <c r="I32" s="406"/>
      <c r="J32" s="407"/>
      <c r="K32" s="407"/>
      <c r="L32" s="409"/>
      <c r="M32" s="409"/>
      <c r="N32" s="394"/>
      <c r="O32" s="400"/>
      <c r="P32" s="407"/>
    </row>
    <row r="33" spans="3:17" ht="13.5" thickBot="1">
      <c r="C33" s="406" t="s">
        <v>95</v>
      </c>
      <c r="D33" s="406"/>
      <c r="E33" s="406"/>
      <c r="F33" s="406"/>
      <c r="G33" s="406"/>
      <c r="H33" s="406"/>
      <c r="I33" s="406"/>
      <c r="J33" s="407"/>
      <c r="K33" s="407"/>
      <c r="L33" s="409"/>
      <c r="M33" s="409"/>
      <c r="N33" s="428">
        <f>IF(P33&gt;0,((P33*100%)/$F$75),0)</f>
        <v>1.0762757211655398E-4</v>
      </c>
      <c r="O33" s="400"/>
      <c r="P33" s="432">
        <f>Benefícios!R4</f>
        <v>3.54</v>
      </c>
    </row>
    <row r="34" spans="3:17" ht="3.75" customHeight="1">
      <c r="C34" s="406"/>
      <c r="D34" s="406"/>
      <c r="E34" s="406"/>
      <c r="F34" s="406"/>
      <c r="G34" s="406"/>
      <c r="H34" s="406"/>
      <c r="I34" s="406"/>
      <c r="J34" s="407"/>
      <c r="K34" s="407"/>
      <c r="L34" s="409"/>
      <c r="M34" s="409"/>
      <c r="N34" s="394"/>
      <c r="O34" s="400"/>
      <c r="P34" s="407"/>
    </row>
    <row r="35" spans="3:17" ht="13.5" thickBot="1">
      <c r="C35" s="406" t="s">
        <v>500</v>
      </c>
      <c r="D35" s="406"/>
      <c r="E35" s="406"/>
      <c r="F35" s="406"/>
      <c r="G35" s="406"/>
      <c r="H35" s="406"/>
      <c r="I35" s="406"/>
      <c r="J35" s="407"/>
      <c r="K35" s="407"/>
      <c r="L35" s="408"/>
      <c r="M35" s="409"/>
      <c r="N35" s="428">
        <f>IF(P35&gt;0,((P35*100%)/$F$75),0)</f>
        <v>1.2402709539329669E-2</v>
      </c>
      <c r="O35" s="400"/>
      <c r="P35" s="432">
        <f>'Uniforme e EPI'!J8</f>
        <v>407.94</v>
      </c>
    </row>
    <row r="36" spans="3:17" ht="5.25" customHeight="1"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410"/>
      <c r="O36" s="392"/>
      <c r="P36" s="392"/>
    </row>
    <row r="37" spans="3:17" ht="13.5" thickBot="1">
      <c r="C37" s="406" t="s">
        <v>92</v>
      </c>
      <c r="D37" s="406"/>
      <c r="E37" s="406"/>
      <c r="F37" s="406"/>
      <c r="G37" s="406"/>
      <c r="H37" s="406"/>
      <c r="I37" s="406"/>
      <c r="J37" s="407"/>
      <c r="K37" s="407"/>
      <c r="L37" s="408"/>
      <c r="M37" s="409"/>
      <c r="N37" s="428">
        <f>IF(P37&gt;0,((P37*100%)/$F$75),0)</f>
        <v>6.8133725738191381E-4</v>
      </c>
      <c r="O37" s="400"/>
      <c r="P37" s="432">
        <f>Benefícios!BF4</f>
        <v>22.41</v>
      </c>
      <c r="Q37" s="259"/>
    </row>
    <row r="38" spans="3:17" ht="3" customHeight="1">
      <c r="C38" s="406"/>
      <c r="D38" s="406"/>
      <c r="E38" s="406"/>
      <c r="F38" s="406"/>
      <c r="G38" s="406"/>
      <c r="H38" s="406"/>
      <c r="I38" s="406"/>
      <c r="J38" s="407"/>
      <c r="K38" s="407"/>
      <c r="L38" s="408"/>
      <c r="M38" s="409"/>
      <c r="N38" s="394"/>
      <c r="O38" s="400"/>
      <c r="P38" s="407"/>
      <c r="Q38" s="259"/>
    </row>
    <row r="39" spans="3:17" ht="13.5" thickBot="1">
      <c r="C39" s="406" t="s">
        <v>96</v>
      </c>
      <c r="D39" s="406"/>
      <c r="E39" s="406"/>
      <c r="F39" s="406"/>
      <c r="G39" s="406"/>
      <c r="H39" s="406"/>
      <c r="I39" s="406"/>
      <c r="J39" s="407"/>
      <c r="K39" s="407"/>
      <c r="L39" s="408"/>
      <c r="M39" s="409"/>
      <c r="N39" s="428">
        <f>IF(P39&gt;0,((P39*100%)/$F$75),0)</f>
        <v>0</v>
      </c>
      <c r="O39" s="400"/>
      <c r="P39" s="432">
        <f>Benefícios!AP4</f>
        <v>0</v>
      </c>
      <c r="Q39" s="259"/>
    </row>
    <row r="40" spans="3:17" ht="5.25" customHeight="1">
      <c r="C40" s="406"/>
      <c r="D40" s="406"/>
      <c r="E40" s="406"/>
      <c r="F40" s="406"/>
      <c r="G40" s="406"/>
      <c r="H40" s="406"/>
      <c r="I40" s="406"/>
      <c r="J40" s="407"/>
      <c r="K40" s="407"/>
      <c r="L40" s="408"/>
      <c r="M40" s="409"/>
      <c r="N40" s="394"/>
      <c r="O40" s="400"/>
      <c r="P40" s="407"/>
      <c r="Q40" s="259"/>
    </row>
    <row r="41" spans="3:17" ht="13.5" thickBot="1">
      <c r="C41" s="406" t="s">
        <v>97</v>
      </c>
      <c r="D41" s="406"/>
      <c r="E41" s="406"/>
      <c r="F41" s="406"/>
      <c r="G41" s="406"/>
      <c r="H41" s="406"/>
      <c r="I41" s="406"/>
      <c r="J41" s="407"/>
      <c r="K41" s="407"/>
      <c r="L41" s="408"/>
      <c r="M41" s="409"/>
      <c r="N41" s="428">
        <f>IF(P41&gt;0,((P41*100%)/$F$75),0)</f>
        <v>0</v>
      </c>
      <c r="O41" s="400"/>
      <c r="P41" s="432">
        <f>Benefícios!AX4</f>
        <v>0</v>
      </c>
      <c r="Q41" s="259"/>
    </row>
    <row r="42" spans="3:17" ht="5.25" customHeight="1">
      <c r="C42" s="406"/>
      <c r="D42" s="406"/>
      <c r="E42" s="406"/>
      <c r="F42" s="406"/>
      <c r="G42" s="406"/>
      <c r="H42" s="406"/>
      <c r="I42" s="406"/>
      <c r="J42" s="407"/>
      <c r="K42" s="407"/>
      <c r="L42" s="409"/>
      <c r="M42" s="409"/>
      <c r="N42" s="394"/>
      <c r="O42" s="400"/>
      <c r="P42" s="407"/>
      <c r="Q42" s="259"/>
    </row>
    <row r="43" spans="3:17" ht="13.5" thickBot="1">
      <c r="C43" s="406" t="s">
        <v>93</v>
      </c>
      <c r="D43" s="406"/>
      <c r="E43" s="406"/>
      <c r="F43" s="406"/>
      <c r="G43" s="406"/>
      <c r="H43" s="406"/>
      <c r="I43" s="406"/>
      <c r="J43" s="407"/>
      <c r="K43" s="407"/>
      <c r="L43" s="408"/>
      <c r="M43" s="409"/>
      <c r="N43" s="428">
        <f>IF(P43&gt;0,((P43*100%)/$F$75),0)</f>
        <v>0</v>
      </c>
      <c r="O43" s="400"/>
      <c r="P43" s="432">
        <f>Benefícios!BN4</f>
        <v>0</v>
      </c>
      <c r="Q43" s="259"/>
    </row>
    <row r="44" spans="3:17" ht="5.25" customHeight="1"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411"/>
      <c r="O44" s="392"/>
      <c r="P44" s="392"/>
      <c r="Q44" s="259"/>
    </row>
    <row r="45" spans="3:17" ht="13.5" thickBot="1">
      <c r="C45" s="406" t="s">
        <v>119</v>
      </c>
      <c r="D45" s="406"/>
      <c r="E45" s="406"/>
      <c r="F45" s="406"/>
      <c r="G45" s="406"/>
      <c r="H45" s="412"/>
      <c r="I45" s="412"/>
      <c r="J45" s="392"/>
      <c r="K45" s="407"/>
      <c r="L45" s="413"/>
      <c r="M45" s="409"/>
      <c r="N45" s="428">
        <f>IF(P45&gt;0,((P45*100%)/$F$75),0)</f>
        <v>1.2076178430704869E-2</v>
      </c>
      <c r="O45" s="400"/>
      <c r="P45" s="432">
        <f>Material!L10</f>
        <v>397.2</v>
      </c>
    </row>
    <row r="46" spans="3:17" ht="5.25" customHeight="1">
      <c r="C46" s="406"/>
      <c r="D46" s="406"/>
      <c r="E46" s="406"/>
      <c r="F46" s="406"/>
      <c r="G46" s="406"/>
      <c r="H46" s="392"/>
      <c r="I46" s="392"/>
      <c r="J46" s="407"/>
      <c r="K46" s="407"/>
      <c r="L46" s="409"/>
      <c r="M46" s="409"/>
      <c r="N46" s="394"/>
      <c r="O46" s="400"/>
      <c r="P46" s="407"/>
    </row>
    <row r="47" spans="3:17" ht="12.75" customHeight="1" thickBot="1">
      <c r="C47" s="406" t="s">
        <v>171</v>
      </c>
      <c r="D47" s="406"/>
      <c r="E47" s="406"/>
      <c r="F47" s="406"/>
      <c r="G47" s="406"/>
      <c r="H47" s="392"/>
      <c r="I47" s="392"/>
      <c r="J47" s="407"/>
      <c r="K47" s="407"/>
      <c r="L47" s="409"/>
      <c r="M47" s="409"/>
      <c r="N47" s="428">
        <f>IF(P47&gt;0,((P47*100%)/$F$75),0)</f>
        <v>4.1852531984238946E-2</v>
      </c>
      <c r="O47" s="400"/>
      <c r="P47" s="432">
        <f>DE!O8</f>
        <v>1376.58</v>
      </c>
    </row>
    <row r="48" spans="3:17" ht="3.75" customHeight="1">
      <c r="C48" s="406"/>
      <c r="D48" s="406"/>
      <c r="E48" s="406"/>
      <c r="F48" s="406"/>
      <c r="G48" s="406"/>
      <c r="H48" s="392"/>
      <c r="I48" s="392"/>
      <c r="J48" s="407"/>
      <c r="K48" s="407"/>
      <c r="L48" s="409"/>
      <c r="M48" s="409"/>
      <c r="N48" s="394"/>
      <c r="O48" s="400"/>
      <c r="P48" s="407"/>
    </row>
    <row r="49" spans="3:16" ht="12.75" customHeight="1" thickBot="1">
      <c r="C49" s="406" t="s">
        <v>120</v>
      </c>
      <c r="D49" s="406"/>
      <c r="E49" s="406"/>
      <c r="F49" s="406"/>
      <c r="G49" s="406"/>
      <c r="H49" s="392"/>
      <c r="I49" s="392"/>
      <c r="J49" s="407"/>
      <c r="K49" s="407"/>
      <c r="L49" s="409"/>
      <c r="M49" s="409"/>
      <c r="N49" s="428">
        <f>IF(P49&gt;0,((P49*100%)/$F$75),0)</f>
        <v>1.5059043148319309E-2</v>
      </c>
      <c r="O49" s="400"/>
      <c r="P49" s="432">
        <f>DV!O8</f>
        <v>495.31</v>
      </c>
    </row>
    <row r="50" spans="3:16" ht="3.75" customHeight="1">
      <c r="C50" s="406"/>
      <c r="D50" s="406"/>
      <c r="E50" s="406"/>
      <c r="F50" s="406"/>
      <c r="G50" s="406"/>
      <c r="H50" s="392"/>
      <c r="I50" s="392"/>
      <c r="J50" s="407"/>
      <c r="K50" s="407"/>
      <c r="L50" s="409"/>
      <c r="M50" s="409"/>
      <c r="N50" s="394"/>
      <c r="O50" s="400"/>
      <c r="P50" s="407"/>
    </row>
    <row r="51" spans="3:16" ht="12.75" customHeight="1" thickBot="1">
      <c r="C51" s="406" t="s">
        <v>420</v>
      </c>
      <c r="D51" s="406"/>
      <c r="E51" s="406"/>
      <c r="F51" s="406"/>
      <c r="G51" s="406"/>
      <c r="H51" s="392"/>
      <c r="I51" s="392"/>
      <c r="J51" s="407"/>
      <c r="K51" s="407"/>
      <c r="L51" s="409"/>
      <c r="M51" s="409"/>
      <c r="N51" s="428">
        <f>IF(P51&gt;0,((P51*100%)/$F$75),0)</f>
        <v>1.5225957094906846E-3</v>
      </c>
      <c r="O51" s="400"/>
      <c r="P51" s="432">
        <f>DE!S8</f>
        <v>50.08</v>
      </c>
    </row>
    <row r="52" spans="3:16" ht="3.75" customHeight="1"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411"/>
      <c r="O52" s="392"/>
      <c r="P52" s="392"/>
    </row>
    <row r="53" spans="3:16" ht="12.75" customHeight="1" thickBot="1">
      <c r="C53" s="406" t="s">
        <v>164</v>
      </c>
      <c r="D53" s="406"/>
      <c r="E53" s="406"/>
      <c r="F53" s="406"/>
      <c r="G53" s="406"/>
      <c r="H53" s="392"/>
      <c r="I53" s="392"/>
      <c r="J53" s="407"/>
      <c r="K53" s="407"/>
      <c r="L53" s="409"/>
      <c r="M53" s="409"/>
      <c r="N53" s="428">
        <f>IF(P53&gt;0,((P53*100%)/$F$75),0)</f>
        <v>5.6080957824585304E-2</v>
      </c>
      <c r="O53" s="400"/>
      <c r="P53" s="432">
        <f>DV!S8</f>
        <v>1844.57</v>
      </c>
    </row>
    <row r="54" spans="3:16" ht="3.75" customHeight="1">
      <c r="C54" s="406"/>
      <c r="D54" s="406"/>
      <c r="E54" s="406"/>
      <c r="F54" s="406"/>
      <c r="G54" s="406"/>
      <c r="H54" s="392"/>
      <c r="I54" s="392"/>
      <c r="J54" s="407"/>
      <c r="K54" s="407"/>
      <c r="L54" s="409"/>
      <c r="M54" s="409"/>
      <c r="N54" s="394"/>
      <c r="O54" s="400"/>
      <c r="P54" s="407"/>
    </row>
    <row r="55" spans="3:16" ht="12.75" customHeight="1" thickBot="1">
      <c r="C55" s="406" t="s">
        <v>219</v>
      </c>
      <c r="D55" s="406"/>
      <c r="E55" s="406"/>
      <c r="F55" s="406"/>
      <c r="G55" s="406"/>
      <c r="H55" s="392"/>
      <c r="I55" s="392"/>
      <c r="J55" s="407"/>
      <c r="K55" s="407"/>
      <c r="L55" s="409"/>
      <c r="M55" s="409"/>
      <c r="N55" s="428">
        <f>IF(P55&gt;0,((P55*100%)/$F$75),0)</f>
        <v>0.18701415576202754</v>
      </c>
      <c r="O55" s="400"/>
      <c r="P55" s="432">
        <f>DG!K7</f>
        <v>6151.12</v>
      </c>
    </row>
    <row r="56" spans="3:16" ht="3.75" customHeight="1">
      <c r="C56" s="406"/>
      <c r="D56" s="406"/>
      <c r="E56" s="406"/>
      <c r="F56" s="406"/>
      <c r="G56" s="406"/>
      <c r="H56" s="392"/>
      <c r="I56" s="392"/>
      <c r="J56" s="407"/>
      <c r="K56" s="407"/>
      <c r="L56" s="409"/>
      <c r="M56" s="409"/>
      <c r="N56" s="394"/>
      <c r="O56" s="400"/>
      <c r="P56" s="407"/>
    </row>
    <row r="57" spans="3:16" ht="12.75" customHeight="1" thickBot="1">
      <c r="C57" s="414" t="str">
        <f>Benefícios!BP2</f>
        <v>Outros</v>
      </c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428">
        <f>IF(P57&gt;0,((P57*100%)/$F$75),0)</f>
        <v>0</v>
      </c>
      <c r="O57" s="392"/>
      <c r="P57" s="432">
        <f>Benefícios!BV4</f>
        <v>0</v>
      </c>
    </row>
    <row r="58" spans="3:16" ht="8.25" customHeight="1"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</row>
    <row r="59" spans="3:16" ht="20.25" customHeight="1" thickBot="1">
      <c r="C59" s="1145" t="s">
        <v>496</v>
      </c>
      <c r="D59" s="1145"/>
      <c r="E59" s="1145"/>
      <c r="F59" s="1145"/>
      <c r="G59" s="1145"/>
      <c r="H59" s="1145"/>
      <c r="I59" s="1145"/>
      <c r="J59" s="1145"/>
      <c r="K59" s="1145"/>
      <c r="L59" s="1145"/>
      <c r="M59" s="1145"/>
      <c r="N59" s="1146"/>
      <c r="O59" s="443"/>
      <c r="P59" s="430">
        <f>ROUND((SUM(P29:P57)),2)</f>
        <v>11415.95</v>
      </c>
    </row>
    <row r="60" spans="3:16" ht="21.75" customHeight="1"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</row>
    <row r="61" spans="3:16" ht="23.25" customHeight="1" thickBot="1">
      <c r="C61" s="1145" t="s">
        <v>497</v>
      </c>
      <c r="D61" s="1145"/>
      <c r="E61" s="1145"/>
      <c r="F61" s="1145"/>
      <c r="G61" s="1145"/>
      <c r="H61" s="1145"/>
      <c r="I61" s="1145"/>
      <c r="J61" s="1145"/>
      <c r="K61" s="1145"/>
      <c r="L61" s="1145"/>
      <c r="M61" s="1145"/>
      <c r="N61" s="1146"/>
      <c r="O61" s="443"/>
      <c r="P61" s="430">
        <f>(P15+P21+P59)</f>
        <v>24606.71</v>
      </c>
    </row>
    <row r="62" spans="3:16" ht="17.25" customHeight="1"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</row>
    <row r="63" spans="3:16" ht="24" customHeight="1" thickBot="1">
      <c r="C63" s="1137" t="s">
        <v>41</v>
      </c>
      <c r="D63" s="1138"/>
      <c r="E63" s="1138"/>
      <c r="F63" s="1138"/>
      <c r="G63" s="1138"/>
      <c r="H63" s="1138"/>
      <c r="I63" s="1138"/>
      <c r="J63" s="1138"/>
      <c r="K63" s="1138"/>
      <c r="L63" s="1138"/>
      <c r="M63" s="1138"/>
      <c r="N63" s="1138"/>
      <c r="O63" s="1138"/>
      <c r="P63" s="1139"/>
    </row>
    <row r="64" spans="3:16" ht="7.5" customHeight="1"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</row>
    <row r="65" spans="3:16" ht="23.25" customHeight="1" thickBot="1">
      <c r="C65" s="440" t="s">
        <v>224</v>
      </c>
      <c r="D65" s="441"/>
      <c r="E65" s="441"/>
      <c r="F65" s="441"/>
      <c r="G65" s="441"/>
      <c r="H65" s="442"/>
      <c r="I65" s="392"/>
      <c r="J65" s="380">
        <f>MC!D6</f>
        <v>0.1462</v>
      </c>
      <c r="K65" s="402"/>
      <c r="L65" s="403"/>
      <c r="M65" s="403"/>
      <c r="N65" s="428">
        <f>IF(P65&gt;0,((P65*100%)/$F$75),0)</f>
        <v>0.10937576008172399</v>
      </c>
      <c r="O65" s="400"/>
      <c r="P65" s="430">
        <f>Consolidado_A!L126</f>
        <v>3597.5</v>
      </c>
    </row>
    <row r="66" spans="3:16" ht="12" customHeight="1">
      <c r="C66" s="395"/>
      <c r="D66" s="395"/>
      <c r="E66" s="395"/>
      <c r="F66" s="395"/>
      <c r="G66" s="395"/>
      <c r="H66" s="392"/>
      <c r="I66" s="392"/>
      <c r="J66" s="415"/>
      <c r="K66" s="402"/>
      <c r="L66" s="403"/>
      <c r="M66" s="403"/>
      <c r="N66" s="394"/>
      <c r="O66" s="400"/>
      <c r="P66" s="404"/>
    </row>
    <row r="67" spans="3:16" ht="23.25" customHeight="1" thickBot="1">
      <c r="C67" s="1126" t="s">
        <v>498</v>
      </c>
      <c r="D67" s="1126"/>
      <c r="E67" s="1126"/>
      <c r="F67" s="1126"/>
      <c r="G67" s="1126"/>
      <c r="H67" s="1127"/>
      <c r="I67" s="392"/>
      <c r="J67" s="380">
        <f>MC!D16</f>
        <v>0.14250000000000002</v>
      </c>
      <c r="K67" s="416"/>
      <c r="L67" s="417"/>
      <c r="M67" s="408"/>
      <c r="N67" s="428">
        <f>IF(P67&gt;0,((P67*100%)/$F$75),0)</f>
        <v>0.14249981758038624</v>
      </c>
      <c r="O67" s="400"/>
      <c r="P67" s="430">
        <f>Consolidado_A!L135</f>
        <v>4686.99</v>
      </c>
    </row>
    <row r="68" spans="3:16" ht="12" customHeight="1">
      <c r="C68" s="392"/>
      <c r="D68" s="392"/>
      <c r="E68" s="392"/>
      <c r="F68" s="392"/>
      <c r="G68" s="392"/>
      <c r="H68" s="392"/>
      <c r="I68" s="392"/>
      <c r="J68" s="416"/>
      <c r="K68" s="416"/>
      <c r="L68" s="408"/>
      <c r="M68" s="408"/>
      <c r="N68" s="400"/>
      <c r="O68" s="400"/>
      <c r="P68" s="407"/>
    </row>
    <row r="69" spans="3:16" ht="20.25" customHeight="1" thickBot="1">
      <c r="C69" s="1126" t="s">
        <v>21</v>
      </c>
      <c r="D69" s="1126"/>
      <c r="E69" s="1126"/>
      <c r="F69" s="1126"/>
      <c r="G69" s="1126"/>
      <c r="H69" s="1127"/>
      <c r="I69" s="392"/>
      <c r="J69" s="416"/>
      <c r="K69" s="416"/>
      <c r="L69" s="408"/>
      <c r="M69" s="408"/>
      <c r="N69" s="408"/>
      <c r="O69" s="400"/>
      <c r="P69" s="429">
        <f>Consolidado_A!L145</f>
        <v>2426.79</v>
      </c>
    </row>
    <row r="70" spans="3:16" ht="9.75" customHeight="1">
      <c r="C70" s="188"/>
      <c r="D70" s="188"/>
      <c r="E70" s="188"/>
      <c r="F70" s="188"/>
      <c r="G70" s="188"/>
      <c r="H70" s="188"/>
      <c r="I70" s="188"/>
    </row>
    <row r="71" spans="3:16" ht="20.25" customHeight="1" thickBot="1">
      <c r="C71" s="1126" t="s">
        <v>493</v>
      </c>
      <c r="D71" s="1126"/>
      <c r="E71" s="1126"/>
      <c r="F71" s="1126"/>
      <c r="G71" s="1126"/>
      <c r="H71" s="1127"/>
      <c r="I71" s="188"/>
      <c r="P71" s="429">
        <f>Consolidado_A!L157</f>
        <v>5191.7847463556845</v>
      </c>
    </row>
    <row r="72" spans="3:16" ht="9.75" customHeight="1">
      <c r="C72" s="188"/>
      <c r="D72" s="188"/>
      <c r="E72" s="188"/>
      <c r="F72" s="188"/>
      <c r="G72" s="188"/>
      <c r="H72" s="188"/>
      <c r="I72" s="188"/>
    </row>
    <row r="73" spans="3:16" ht="21" customHeight="1" thickBot="1">
      <c r="C73" s="258"/>
      <c r="D73" s="584" t="s">
        <v>184</v>
      </c>
      <c r="E73" s="258"/>
      <c r="F73" s="1069" t="s">
        <v>84</v>
      </c>
      <c r="G73" s="1070"/>
      <c r="H73" s="1071"/>
      <c r="I73" s="258"/>
      <c r="J73" s="1069" t="s">
        <v>34</v>
      </c>
      <c r="K73" s="1070"/>
      <c r="L73" s="1071"/>
      <c r="N73" s="1128" t="s">
        <v>574</v>
      </c>
      <c r="O73" s="1129"/>
      <c r="P73" s="1130"/>
    </row>
    <row r="74" spans="3:16" ht="5.25" customHeight="1">
      <c r="C74" s="258"/>
      <c r="D74" s="585"/>
      <c r="E74" s="258"/>
      <c r="F74" s="258"/>
      <c r="G74" s="258"/>
      <c r="I74" s="258"/>
      <c r="N74" s="583"/>
      <c r="O74" s="583"/>
      <c r="P74" s="583"/>
    </row>
    <row r="75" spans="3:16" ht="23.25" customHeight="1" thickBot="1">
      <c r="C75" s="188"/>
      <c r="D75" s="584">
        <f>Dados!C16</f>
        <v>12</v>
      </c>
      <c r="E75" s="188"/>
      <c r="F75" s="1124">
        <f>ROUND(P61+P65+P67,2)</f>
        <v>32891.199999999997</v>
      </c>
      <c r="G75" s="1124"/>
      <c r="H75" s="1125"/>
      <c r="J75" s="1124">
        <f>(F75*D75)+P69+P71</f>
        <v>402312.97474635561</v>
      </c>
      <c r="K75" s="1124"/>
      <c r="L75" s="1125"/>
      <c r="M75" s="261"/>
      <c r="N75" s="1122">
        <f>ROUND((IF(F75&gt;0,F75/C15,0)),2)</f>
        <v>10963.73</v>
      </c>
      <c r="O75" s="1122"/>
      <c r="P75" s="1123"/>
    </row>
    <row r="76" spans="3:16" ht="6" customHeight="1"/>
    <row r="77" spans="3:16" ht="16.5" customHeight="1"/>
    <row r="78" spans="3:16" ht="6.75" customHeight="1"/>
    <row r="79" spans="3:16" ht="23.25" customHeight="1"/>
    <row r="81" ht="5.25" customHeight="1"/>
    <row r="82" ht="11.25" customHeight="1"/>
    <row r="83" ht="5.25" customHeight="1"/>
    <row r="85" ht="5.25" customHeight="1"/>
    <row r="87" ht="5.25" customHeight="1"/>
    <row r="89" ht="5.25" customHeight="1"/>
    <row r="91" ht="5.25" customHeight="1"/>
    <row r="93" ht="5.25" customHeight="1"/>
    <row r="95" ht="5.25" customHeight="1"/>
    <row r="97" ht="5.25" customHeight="1"/>
  </sheetData>
  <sheetProtection password="CADB" sheet="1" objects="1" scenarios="1" formatCells="0" formatColumns="0" formatRows="0"/>
  <mergeCells count="21">
    <mergeCell ref="C61:N61"/>
    <mergeCell ref="C63:P63"/>
    <mergeCell ref="C69:H69"/>
    <mergeCell ref="C17:D17"/>
    <mergeCell ref="C67:H67"/>
    <mergeCell ref="C59:N59"/>
    <mergeCell ref="C25:P25"/>
    <mergeCell ref="C27:H27"/>
    <mergeCell ref="C4:P4"/>
    <mergeCell ref="C7:P7"/>
    <mergeCell ref="C9:P9"/>
    <mergeCell ref="C11:D11"/>
    <mergeCell ref="C13:D13"/>
    <mergeCell ref="C15:D15"/>
    <mergeCell ref="N75:P75"/>
    <mergeCell ref="F73:H73"/>
    <mergeCell ref="F75:H75"/>
    <mergeCell ref="C71:H71"/>
    <mergeCell ref="J75:L75"/>
    <mergeCell ref="N73:P73"/>
    <mergeCell ref="J73:L73"/>
  </mergeCells>
  <phoneticPr fontId="0" type="noConversion"/>
  <printOptions horizontalCentered="1"/>
  <pageMargins left="0.5" right="0.33" top="0.94" bottom="0.6" header="0.32" footer="0.35433070866141736"/>
  <pageSetup paperSize="9" scale="80" orientation="portrait" blackAndWhite="1" horizontalDpi="300" verticalDpi="300" r:id="rId1"/>
  <headerFooter alignWithMargins="0">
    <oddFooter>&amp;R&amp;F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  <pageSetUpPr autoPageBreaks="0"/>
  </sheetPr>
  <dimension ref="A1:P194"/>
  <sheetViews>
    <sheetView showGridLines="0" showZeros="0" tabSelected="1" topLeftCell="A111" workbookViewId="0">
      <selection activeCell="L131" sqref="L131"/>
    </sheetView>
  </sheetViews>
  <sheetFormatPr defaultRowHeight="12.75"/>
  <cols>
    <col min="1" max="1" width="1" style="170" customWidth="1"/>
    <col min="2" max="2" width="6.7109375" style="274" customWidth="1"/>
    <col min="3" max="3" width="6.7109375" style="170" customWidth="1"/>
    <col min="4" max="4" width="8" style="170" customWidth="1"/>
    <col min="5" max="5" width="23.42578125" style="170" customWidth="1"/>
    <col min="6" max="6" width="12.140625" style="170" customWidth="1"/>
    <col min="7" max="7" width="13.140625" style="170" customWidth="1"/>
    <col min="8" max="8" width="12.42578125" style="170" customWidth="1"/>
    <col min="9" max="9" width="11.85546875" style="170" customWidth="1"/>
    <col min="10" max="10" width="5" style="170" customWidth="1"/>
    <col min="11" max="11" width="6.5703125" style="170" customWidth="1"/>
    <col min="12" max="12" width="14.7109375" style="275" customWidth="1"/>
    <col min="13" max="13" width="0.5703125" style="170" customWidth="1"/>
    <col min="14" max="14" width="1.85546875" style="170" customWidth="1"/>
    <col min="15" max="15" width="13" style="170" customWidth="1"/>
    <col min="16" max="16384" width="9.140625" style="170"/>
  </cols>
  <sheetData>
    <row r="1" spans="1:13" ht="5.25" customHeight="1">
      <c r="A1" s="170" t="s">
        <v>599</v>
      </c>
    </row>
    <row r="2" spans="1:13" ht="51" customHeight="1" thickBot="1">
      <c r="A2" s="140"/>
      <c r="B2" s="276"/>
      <c r="C2" s="277"/>
      <c r="D2" s="278"/>
      <c r="E2" s="278"/>
      <c r="F2" s="1190" t="str">
        <f>Dados!C10</f>
        <v xml:space="preserve">Planilha de Custos e Formação de Preços de Serviços Contínuos de Falcoaria e Manejo de Fauna no Aeroporto Internacional de Navegantes - Ministro Victor Konder    
</v>
      </c>
      <c r="G2" s="1190"/>
      <c r="H2" s="1190"/>
      <c r="I2" s="1190"/>
      <c r="J2" s="1190"/>
      <c r="K2" s="1190"/>
      <c r="L2" s="1190"/>
      <c r="M2" s="1191"/>
    </row>
    <row r="3" spans="1:13" ht="3.75" customHeight="1" thickBot="1">
      <c r="A3" s="140"/>
      <c r="B3" s="279"/>
      <c r="C3" s="280"/>
      <c r="D3" s="281"/>
      <c r="E3" s="281"/>
      <c r="F3" s="281"/>
      <c r="G3" s="281"/>
      <c r="H3" s="281"/>
      <c r="I3" s="281"/>
      <c r="J3" s="281"/>
      <c r="K3" s="281"/>
      <c r="L3" s="282"/>
      <c r="M3" s="281"/>
    </row>
    <row r="4" spans="1:13" ht="3.75" customHeight="1">
      <c r="A4" s="140"/>
      <c r="B4" s="283"/>
      <c r="C4" s="154"/>
      <c r="D4" s="140"/>
      <c r="E4" s="154"/>
      <c r="F4" s="140"/>
      <c r="G4" s="140"/>
      <c r="H4" s="140"/>
      <c r="I4" s="140"/>
      <c r="J4" s="140"/>
      <c r="K4" s="140"/>
      <c r="L4" s="284"/>
      <c r="M4" s="285"/>
    </row>
    <row r="5" spans="1:13" ht="35.25" customHeight="1">
      <c r="A5" s="140"/>
      <c r="B5" s="283"/>
      <c r="C5" s="349" t="s">
        <v>134</v>
      </c>
      <c r="D5" s="1200" t="str">
        <f>Dados!C8</f>
        <v xml:space="preserve">Contratação de Serviço Contínuo de Falcoaria e Manejo de Fauna no Aeroporto Internacional de Navegantes - Ministro Victor Konder
</v>
      </c>
      <c r="E5" s="1201"/>
      <c r="F5" s="1201"/>
      <c r="G5" s="1201"/>
      <c r="H5" s="1201"/>
      <c r="I5" s="1201"/>
      <c r="J5" s="1201"/>
      <c r="K5" s="1201"/>
      <c r="L5" s="1202"/>
      <c r="M5" s="285"/>
    </row>
    <row r="6" spans="1:13" ht="3.75" customHeight="1">
      <c r="A6" s="140"/>
      <c r="B6" s="283"/>
      <c r="C6" s="154"/>
      <c r="D6" s="140"/>
      <c r="E6" s="154"/>
      <c r="F6" s="140"/>
      <c r="G6" s="140"/>
      <c r="H6" s="140"/>
      <c r="I6" s="140"/>
      <c r="J6" s="140"/>
      <c r="K6" s="140"/>
      <c r="L6" s="284"/>
      <c r="M6" s="285"/>
    </row>
    <row r="7" spans="1:13">
      <c r="A7" s="140"/>
      <c r="B7" s="348"/>
      <c r="C7" s="808" t="s">
        <v>135</v>
      </c>
      <c r="D7" s="286"/>
      <c r="E7" s="350" t="s">
        <v>216</v>
      </c>
      <c r="F7" s="287"/>
      <c r="G7" s="350" t="s">
        <v>136</v>
      </c>
      <c r="H7" s="287"/>
      <c r="I7" s="350" t="s">
        <v>228</v>
      </c>
      <c r="J7" s="274"/>
      <c r="K7" s="286"/>
      <c r="L7" s="350" t="s">
        <v>227</v>
      </c>
      <c r="M7" s="285"/>
    </row>
    <row r="8" spans="1:13">
      <c r="A8" s="140"/>
      <c r="B8" s="1203">
        <f>L139</f>
        <v>32891.199999999997</v>
      </c>
      <c r="C8" s="1204"/>
      <c r="E8" s="806">
        <f>(L145+L157)</f>
        <v>7618.5747463556845</v>
      </c>
      <c r="G8" s="807">
        <f>ROUND((B8*F159)+E8,2)</f>
        <v>402312.97</v>
      </c>
      <c r="I8" s="807">
        <f>Dados!C18</f>
        <v>0</v>
      </c>
      <c r="J8" s="274"/>
      <c r="K8" s="286"/>
      <c r="L8" s="807">
        <f>ROUND(G8+I8,2)</f>
        <v>402312.97</v>
      </c>
      <c r="M8" s="285"/>
    </row>
    <row r="9" spans="1:13" ht="3.75" customHeight="1" thickBot="1">
      <c r="A9" s="140"/>
      <c r="B9" s="288"/>
      <c r="C9" s="289"/>
      <c r="D9" s="290"/>
      <c r="E9" s="290"/>
      <c r="F9" s="291"/>
      <c r="G9" s="291"/>
      <c r="H9" s="291"/>
      <c r="I9" s="291"/>
      <c r="J9" s="291"/>
      <c r="K9" s="291"/>
      <c r="L9" s="292"/>
      <c r="M9" s="293"/>
    </row>
    <row r="10" spans="1:13" ht="2.25" customHeight="1" thickBot="1">
      <c r="A10" s="140"/>
      <c r="C10" s="164"/>
      <c r="D10" s="135"/>
      <c r="E10" s="135"/>
      <c r="F10" s="135"/>
      <c r="G10" s="135"/>
      <c r="H10" s="135"/>
      <c r="I10" s="135"/>
      <c r="J10" s="135"/>
      <c r="K10" s="135"/>
      <c r="L10" s="166"/>
      <c r="M10" s="135"/>
    </row>
    <row r="11" spans="1:13" ht="13.5" thickBot="1">
      <c r="A11" s="140"/>
      <c r="B11" s="1192" t="s">
        <v>137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4"/>
    </row>
    <row r="12" spans="1:13" ht="6.75" customHeight="1" thickBot="1">
      <c r="A12" s="140"/>
      <c r="B12" s="294"/>
      <c r="C12" s="174"/>
      <c r="D12" s="154"/>
      <c r="E12" s="154"/>
      <c r="F12" s="154"/>
      <c r="G12" s="154"/>
      <c r="H12" s="154"/>
      <c r="I12" s="154"/>
      <c r="J12" s="154"/>
      <c r="K12" s="154"/>
      <c r="L12" s="166"/>
      <c r="M12" s="135"/>
    </row>
    <row r="13" spans="1:13" ht="13.5" thickBot="1">
      <c r="A13" s="140"/>
      <c r="B13" s="1197" t="s">
        <v>138</v>
      </c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9"/>
    </row>
    <row r="14" spans="1:13" ht="3.75" customHeight="1" thickBot="1">
      <c r="A14" s="140"/>
      <c r="B14" s="294"/>
      <c r="C14" s="174"/>
      <c r="D14" s="154"/>
      <c r="E14" s="154"/>
      <c r="F14" s="154"/>
      <c r="G14" s="154"/>
      <c r="H14" s="154"/>
      <c r="I14" s="154"/>
      <c r="J14" s="154"/>
      <c r="K14" s="154"/>
      <c r="L14" s="166"/>
      <c r="M14" s="135"/>
    </row>
    <row r="15" spans="1:13" s="213" customFormat="1" ht="23.25" customHeight="1" thickBot="1">
      <c r="A15" s="295"/>
      <c r="B15" s="351" t="s">
        <v>66</v>
      </c>
      <c r="C15" s="1205" t="s">
        <v>37</v>
      </c>
      <c r="D15" s="1205"/>
      <c r="E15" s="1205"/>
      <c r="F15" s="352" t="s">
        <v>36</v>
      </c>
      <c r="G15" s="352" t="s">
        <v>162</v>
      </c>
      <c r="H15" s="353" t="s">
        <v>233</v>
      </c>
      <c r="I15" s="352" t="s">
        <v>115</v>
      </c>
      <c r="J15" s="1195" t="s">
        <v>234</v>
      </c>
      <c r="K15" s="1196"/>
      <c r="L15" s="354" t="s">
        <v>38</v>
      </c>
      <c r="M15" s="296"/>
    </row>
    <row r="16" spans="1:13">
      <c r="A16" s="140"/>
      <c r="B16" s="802">
        <f>Efetivo!D11</f>
        <v>1</v>
      </c>
      <c r="C16" s="1254" t="str">
        <f>Efetivo!B11</f>
        <v>Biologo Ornitologo (Coord.)</v>
      </c>
      <c r="D16" s="1254"/>
      <c r="E16" s="1254"/>
      <c r="F16" s="803">
        <f>Efetivo!S11</f>
        <v>2761</v>
      </c>
      <c r="G16" s="803">
        <f>Efetivo!Z11</f>
        <v>152.80000000000001</v>
      </c>
      <c r="H16" s="803">
        <f>Efetivo!AD11+Efetivo!AF11</f>
        <v>102.92903896103901</v>
      </c>
      <c r="I16" s="803">
        <f>Efetivo!AJ11</f>
        <v>0</v>
      </c>
      <c r="J16" s="1159">
        <f>SUM(Efetivo!AB11+Efetivo!AR11+Efetivo!AL11+Efetivo!AT11+Efetivo!BG11)</f>
        <v>0</v>
      </c>
      <c r="K16" s="1160"/>
      <c r="L16" s="803">
        <f t="shared" ref="L16:L59" si="0">SUM(F16:K16)*B16</f>
        <v>3016.7290389610394</v>
      </c>
      <c r="M16" s="297"/>
    </row>
    <row r="17" spans="1:13" ht="12.75" customHeight="1">
      <c r="A17" s="140"/>
      <c r="B17" s="804">
        <f>Efetivo!D12</f>
        <v>1</v>
      </c>
      <c r="C17" s="1161" t="str">
        <f>Efetivo!B12</f>
        <v>Veterinário</v>
      </c>
      <c r="D17" s="1161"/>
      <c r="E17" s="1161"/>
      <c r="F17" s="803">
        <f>Efetivo!S12</f>
        <v>1866</v>
      </c>
      <c r="G17" s="805">
        <f>Efetivo!Z12</f>
        <v>152.80000000000001</v>
      </c>
      <c r="H17" s="805">
        <f>Efetivo!AD12+Efetivo!AF12</f>
        <v>0</v>
      </c>
      <c r="I17" s="805">
        <f>Efetivo!AJ12</f>
        <v>0</v>
      </c>
      <c r="J17" s="1159">
        <f>SUM(Efetivo!AB12+Efetivo!AR12+Efetivo!AL12+Efetivo!AT12+Efetivo!BG12)</f>
        <v>0</v>
      </c>
      <c r="K17" s="1160"/>
      <c r="L17" s="805">
        <f t="shared" si="0"/>
        <v>2018.8</v>
      </c>
      <c r="M17" s="297"/>
    </row>
    <row r="18" spans="1:13" ht="12.75" customHeight="1">
      <c r="A18" s="140"/>
      <c r="B18" s="804">
        <f>Efetivo!D13</f>
        <v>1</v>
      </c>
      <c r="C18" s="1161" t="str">
        <f>Efetivo!B13</f>
        <v>Falcoeiro</v>
      </c>
      <c r="D18" s="1161"/>
      <c r="E18" s="1161"/>
      <c r="F18" s="803">
        <f>Efetivo!S13</f>
        <v>2500</v>
      </c>
      <c r="G18" s="805">
        <f>Efetivo!Z13</f>
        <v>152.80000000000001</v>
      </c>
      <c r="H18" s="805">
        <f>Efetivo!AD13+Efetivo!AF13</f>
        <v>93.709298701298735</v>
      </c>
      <c r="I18" s="805">
        <f>Efetivo!AJ13</f>
        <v>0</v>
      </c>
      <c r="J18" s="1159">
        <f>SUM(Efetivo!AB13+Efetivo!AR13+Efetivo!AL13+Efetivo!AT13+Efetivo!BG13)</f>
        <v>0</v>
      </c>
      <c r="K18" s="1160"/>
      <c r="L18" s="805">
        <f t="shared" si="0"/>
        <v>2746.509298701299</v>
      </c>
      <c r="M18" s="297"/>
    </row>
    <row r="19" spans="1:13" ht="12.75" customHeight="1">
      <c r="A19" s="140"/>
      <c r="B19" s="804">
        <f>Efetivo!D14</f>
        <v>0</v>
      </c>
      <c r="C19" s="1161">
        <f>Efetivo!B14</f>
        <v>0</v>
      </c>
      <c r="D19" s="1161"/>
      <c r="E19" s="1161"/>
      <c r="F19" s="803">
        <f>Efetivo!S14</f>
        <v>0</v>
      </c>
      <c r="G19" s="805">
        <f>Efetivo!Z14</f>
        <v>0</v>
      </c>
      <c r="H19" s="805">
        <f>Efetivo!AD14+Efetivo!AF14</f>
        <v>0</v>
      </c>
      <c r="I19" s="805">
        <f>Efetivo!AJ14</f>
        <v>0</v>
      </c>
      <c r="J19" s="1159">
        <f>SUM(Efetivo!AB14+Efetivo!AR14+Efetivo!AL14+Efetivo!AT14+Efetivo!BG14)</f>
        <v>0</v>
      </c>
      <c r="K19" s="1160"/>
      <c r="L19" s="805">
        <f t="shared" si="0"/>
        <v>0</v>
      </c>
      <c r="M19" s="297"/>
    </row>
    <row r="20" spans="1:13" hidden="1">
      <c r="A20" s="140"/>
      <c r="B20" s="804">
        <f>Efetivo!D15</f>
        <v>0</v>
      </c>
      <c r="C20" s="1161">
        <f>Efetivo!B15</f>
        <v>0</v>
      </c>
      <c r="D20" s="1161"/>
      <c r="E20" s="1161"/>
      <c r="F20" s="803">
        <f>Efetivo!S15</f>
        <v>0</v>
      </c>
      <c r="G20" s="805">
        <f>Efetivo!Z15</f>
        <v>0</v>
      </c>
      <c r="H20" s="805">
        <f>Efetivo!AD15+Efetivo!AF15</f>
        <v>0</v>
      </c>
      <c r="I20" s="805">
        <f>Efetivo!AJ15</f>
        <v>0</v>
      </c>
      <c r="J20" s="1159">
        <f>SUM(Efetivo!AB15+Efetivo!AR15+Efetivo!AL15+Efetivo!AT15+Efetivo!BG15)</f>
        <v>0</v>
      </c>
      <c r="K20" s="1160"/>
      <c r="L20" s="805">
        <f t="shared" si="0"/>
        <v>0</v>
      </c>
      <c r="M20" s="297"/>
    </row>
    <row r="21" spans="1:13" hidden="1">
      <c r="A21" s="140"/>
      <c r="B21" s="804">
        <f>Efetivo!D16</f>
        <v>0</v>
      </c>
      <c r="C21" s="1161">
        <f>Efetivo!B16</f>
        <v>0</v>
      </c>
      <c r="D21" s="1161"/>
      <c r="E21" s="1161"/>
      <c r="F21" s="803">
        <f>Efetivo!S16</f>
        <v>0</v>
      </c>
      <c r="G21" s="805">
        <f>Efetivo!Z16</f>
        <v>0</v>
      </c>
      <c r="H21" s="805">
        <f>Efetivo!AD16+Efetivo!AF16</f>
        <v>0</v>
      </c>
      <c r="I21" s="805">
        <f>Efetivo!AJ16</f>
        <v>0</v>
      </c>
      <c r="J21" s="1159">
        <f>SUM(Efetivo!AB16+Efetivo!AR16+Efetivo!AL16+Efetivo!AT16+Efetivo!BG16)</f>
        <v>0</v>
      </c>
      <c r="K21" s="1160"/>
      <c r="L21" s="805">
        <f t="shared" si="0"/>
        <v>0</v>
      </c>
      <c r="M21" s="297"/>
    </row>
    <row r="22" spans="1:13" hidden="1">
      <c r="A22" s="140"/>
      <c r="B22" s="804">
        <f>Efetivo!D17</f>
        <v>0</v>
      </c>
      <c r="C22" s="1161">
        <f>Efetivo!B17</f>
        <v>0</v>
      </c>
      <c r="D22" s="1161"/>
      <c r="E22" s="1161"/>
      <c r="F22" s="803">
        <f>Efetivo!S17</f>
        <v>0</v>
      </c>
      <c r="G22" s="805">
        <f>Efetivo!Z17</f>
        <v>0</v>
      </c>
      <c r="H22" s="805">
        <f>Efetivo!AD17+Efetivo!AF17</f>
        <v>0</v>
      </c>
      <c r="I22" s="805">
        <f>Efetivo!AJ17</f>
        <v>0</v>
      </c>
      <c r="J22" s="1159">
        <f>SUM(Efetivo!AB17+Efetivo!AR17+Efetivo!AL17+Efetivo!AT17+Efetivo!BG17)</f>
        <v>0</v>
      </c>
      <c r="K22" s="1160"/>
      <c r="L22" s="805">
        <f t="shared" si="0"/>
        <v>0</v>
      </c>
      <c r="M22" s="297"/>
    </row>
    <row r="23" spans="1:13" hidden="1">
      <c r="A23" s="140"/>
      <c r="B23" s="804">
        <f>Efetivo!D18</f>
        <v>0</v>
      </c>
      <c r="C23" s="1161">
        <f>Efetivo!B18</f>
        <v>0</v>
      </c>
      <c r="D23" s="1161"/>
      <c r="E23" s="1161"/>
      <c r="F23" s="803">
        <f>Efetivo!S18</f>
        <v>0</v>
      </c>
      <c r="G23" s="805">
        <f>Efetivo!Z18</f>
        <v>0</v>
      </c>
      <c r="H23" s="805">
        <f>Efetivo!AD18+Efetivo!AF18</f>
        <v>0</v>
      </c>
      <c r="I23" s="805">
        <f>Efetivo!AJ18</f>
        <v>0</v>
      </c>
      <c r="J23" s="1159">
        <f>SUM(Efetivo!AB18+Efetivo!AR18+Efetivo!AL18+Efetivo!AT18+Efetivo!BG18)</f>
        <v>0</v>
      </c>
      <c r="K23" s="1160"/>
      <c r="L23" s="805">
        <f t="shared" si="0"/>
        <v>0</v>
      </c>
      <c r="M23" s="297"/>
    </row>
    <row r="24" spans="1:13" hidden="1">
      <c r="A24" s="140"/>
      <c r="B24" s="804">
        <f>Efetivo!D19</f>
        <v>0</v>
      </c>
      <c r="C24" s="1161">
        <f>Efetivo!B19</f>
        <v>0</v>
      </c>
      <c r="D24" s="1161"/>
      <c r="E24" s="1161"/>
      <c r="F24" s="803">
        <f>Efetivo!S19</f>
        <v>0</v>
      </c>
      <c r="G24" s="805">
        <f>Efetivo!Z19</f>
        <v>0</v>
      </c>
      <c r="H24" s="805">
        <f>Efetivo!AD19+Efetivo!AF19</f>
        <v>0</v>
      </c>
      <c r="I24" s="805">
        <f>Efetivo!AJ19</f>
        <v>0</v>
      </c>
      <c r="J24" s="1159">
        <f>SUM(Efetivo!AB19+Efetivo!AR19+Efetivo!AL19+Efetivo!AT19+Efetivo!BG19)</f>
        <v>0</v>
      </c>
      <c r="K24" s="1160"/>
      <c r="L24" s="805">
        <f t="shared" si="0"/>
        <v>0</v>
      </c>
      <c r="M24" s="297"/>
    </row>
    <row r="25" spans="1:13" hidden="1">
      <c r="A25" s="140"/>
      <c r="B25" s="804">
        <f>Efetivo!D20</f>
        <v>0</v>
      </c>
      <c r="C25" s="1161">
        <f>Efetivo!B20</f>
        <v>0</v>
      </c>
      <c r="D25" s="1161"/>
      <c r="E25" s="1161"/>
      <c r="F25" s="803">
        <f>Efetivo!S20</f>
        <v>0</v>
      </c>
      <c r="G25" s="805">
        <f>Efetivo!Z20</f>
        <v>0</v>
      </c>
      <c r="H25" s="805">
        <f>Efetivo!AD20+Efetivo!AF20</f>
        <v>0</v>
      </c>
      <c r="I25" s="805">
        <f>Efetivo!AJ20</f>
        <v>0</v>
      </c>
      <c r="J25" s="1159">
        <f>SUM(Efetivo!AB20+Efetivo!AR20+Efetivo!AL20+Efetivo!AT20+Efetivo!BG20)</f>
        <v>0</v>
      </c>
      <c r="K25" s="1160"/>
      <c r="L25" s="805">
        <f t="shared" si="0"/>
        <v>0</v>
      </c>
      <c r="M25" s="297"/>
    </row>
    <row r="26" spans="1:13" hidden="1">
      <c r="A26" s="140"/>
      <c r="B26" s="804">
        <f>Efetivo!D21</f>
        <v>0</v>
      </c>
      <c r="C26" s="1161">
        <f>Efetivo!B21</f>
        <v>0</v>
      </c>
      <c r="D26" s="1161"/>
      <c r="E26" s="1161"/>
      <c r="F26" s="803">
        <f>Efetivo!S21</f>
        <v>0</v>
      </c>
      <c r="G26" s="805">
        <f>Efetivo!Z21</f>
        <v>0</v>
      </c>
      <c r="H26" s="805">
        <f>Efetivo!AD21+Efetivo!AF21</f>
        <v>0</v>
      </c>
      <c r="I26" s="805">
        <f>Efetivo!AJ21</f>
        <v>0</v>
      </c>
      <c r="J26" s="1159">
        <f>SUM(Efetivo!AB21+Efetivo!AR21+Efetivo!AL21+Efetivo!AT21+Efetivo!BG21)</f>
        <v>0</v>
      </c>
      <c r="K26" s="1160"/>
      <c r="L26" s="805">
        <f t="shared" si="0"/>
        <v>0</v>
      </c>
      <c r="M26" s="297"/>
    </row>
    <row r="27" spans="1:13" hidden="1">
      <c r="A27" s="140"/>
      <c r="B27" s="804">
        <f>Efetivo!D22</f>
        <v>0</v>
      </c>
      <c r="C27" s="1161">
        <f>Efetivo!B22</f>
        <v>0</v>
      </c>
      <c r="D27" s="1161"/>
      <c r="E27" s="1161"/>
      <c r="F27" s="803">
        <f>Efetivo!S22</f>
        <v>0</v>
      </c>
      <c r="G27" s="805">
        <f>Efetivo!Z22</f>
        <v>0</v>
      </c>
      <c r="H27" s="805">
        <f>Efetivo!AD22+Efetivo!AF22</f>
        <v>0</v>
      </c>
      <c r="I27" s="805">
        <f>Efetivo!AJ22</f>
        <v>0</v>
      </c>
      <c r="J27" s="1159">
        <f>SUM(Efetivo!AB22+Efetivo!AR22+Efetivo!AL22+Efetivo!AT22+Efetivo!BG22)</f>
        <v>0</v>
      </c>
      <c r="K27" s="1160"/>
      <c r="L27" s="805">
        <f t="shared" si="0"/>
        <v>0</v>
      </c>
      <c r="M27" s="297"/>
    </row>
    <row r="28" spans="1:13" hidden="1">
      <c r="A28" s="140"/>
      <c r="B28" s="804">
        <f>Efetivo!D23</f>
        <v>0</v>
      </c>
      <c r="C28" s="1161">
        <f>Efetivo!B23</f>
        <v>0</v>
      </c>
      <c r="D28" s="1161"/>
      <c r="E28" s="1161"/>
      <c r="F28" s="803">
        <f>Efetivo!S23</f>
        <v>0</v>
      </c>
      <c r="G28" s="805">
        <f>Efetivo!Z23</f>
        <v>0</v>
      </c>
      <c r="H28" s="805">
        <f>Efetivo!AD23+Efetivo!AF23</f>
        <v>0</v>
      </c>
      <c r="I28" s="805">
        <f>Efetivo!AJ23</f>
        <v>0</v>
      </c>
      <c r="J28" s="1159">
        <f>SUM(Efetivo!AB23+Efetivo!AR23+Efetivo!AL23+Efetivo!AT23+Efetivo!BG23)</f>
        <v>0</v>
      </c>
      <c r="K28" s="1160"/>
      <c r="L28" s="805">
        <f t="shared" si="0"/>
        <v>0</v>
      </c>
      <c r="M28" s="297"/>
    </row>
    <row r="29" spans="1:13" hidden="1">
      <c r="A29" s="140"/>
      <c r="B29" s="804">
        <f>Efetivo!D24</f>
        <v>0</v>
      </c>
      <c r="C29" s="1161">
        <f>Efetivo!B24</f>
        <v>0</v>
      </c>
      <c r="D29" s="1161"/>
      <c r="E29" s="1161"/>
      <c r="F29" s="803">
        <f>Efetivo!S24</f>
        <v>0</v>
      </c>
      <c r="G29" s="805">
        <f>Efetivo!Z24</f>
        <v>0</v>
      </c>
      <c r="H29" s="805">
        <f>Efetivo!AD24+Efetivo!AF24</f>
        <v>0</v>
      </c>
      <c r="I29" s="805">
        <f>Efetivo!AJ24</f>
        <v>0</v>
      </c>
      <c r="J29" s="1159">
        <f>SUM(Efetivo!AB24+Efetivo!AR24+Efetivo!AL24+Efetivo!AT24+Efetivo!BG24)</f>
        <v>0</v>
      </c>
      <c r="K29" s="1160"/>
      <c r="L29" s="805">
        <f t="shared" si="0"/>
        <v>0</v>
      </c>
      <c r="M29" s="297"/>
    </row>
    <row r="30" spans="1:13" hidden="1">
      <c r="A30" s="140"/>
      <c r="B30" s="804">
        <f>Efetivo!D25</f>
        <v>0</v>
      </c>
      <c r="C30" s="1161">
        <f>Efetivo!B25</f>
        <v>0</v>
      </c>
      <c r="D30" s="1161"/>
      <c r="E30" s="1161"/>
      <c r="F30" s="803">
        <f>Efetivo!S25</f>
        <v>0</v>
      </c>
      <c r="G30" s="805">
        <f>Efetivo!Z25</f>
        <v>0</v>
      </c>
      <c r="H30" s="805">
        <f>Efetivo!AD25+Efetivo!AF25</f>
        <v>0</v>
      </c>
      <c r="I30" s="805">
        <f>Efetivo!AJ25</f>
        <v>0</v>
      </c>
      <c r="J30" s="1159">
        <f>SUM(Efetivo!AB25+Efetivo!AR25+Efetivo!AL25+Efetivo!AT25+Efetivo!BG25)</f>
        <v>0</v>
      </c>
      <c r="K30" s="1160"/>
      <c r="L30" s="805">
        <f t="shared" si="0"/>
        <v>0</v>
      </c>
      <c r="M30" s="297"/>
    </row>
    <row r="31" spans="1:13" hidden="1">
      <c r="A31" s="140"/>
      <c r="B31" s="804">
        <f>Efetivo!D26</f>
        <v>0</v>
      </c>
      <c r="C31" s="1161">
        <f>Efetivo!B26</f>
        <v>0</v>
      </c>
      <c r="D31" s="1161"/>
      <c r="E31" s="1161"/>
      <c r="F31" s="803">
        <f>Efetivo!S26</f>
        <v>0</v>
      </c>
      <c r="G31" s="805">
        <f>Efetivo!Z26</f>
        <v>0</v>
      </c>
      <c r="H31" s="805">
        <f>Efetivo!AD26+Efetivo!AF26</f>
        <v>0</v>
      </c>
      <c r="I31" s="805">
        <f>Efetivo!AJ26</f>
        <v>0</v>
      </c>
      <c r="J31" s="1159">
        <f>SUM(Efetivo!AB26+Efetivo!AR26+Efetivo!AL26+Efetivo!AT26+Efetivo!BG26)</f>
        <v>0</v>
      </c>
      <c r="K31" s="1160"/>
      <c r="L31" s="805">
        <f t="shared" si="0"/>
        <v>0</v>
      </c>
      <c r="M31" s="297"/>
    </row>
    <row r="32" spans="1:13" hidden="1">
      <c r="A32" s="140"/>
      <c r="B32" s="804">
        <f>Efetivo!D27</f>
        <v>0</v>
      </c>
      <c r="C32" s="1161">
        <f>Efetivo!B27</f>
        <v>0</v>
      </c>
      <c r="D32" s="1161"/>
      <c r="E32" s="1161"/>
      <c r="F32" s="803">
        <f>Efetivo!S27</f>
        <v>0</v>
      </c>
      <c r="G32" s="805">
        <f>Efetivo!Z27</f>
        <v>0</v>
      </c>
      <c r="H32" s="805">
        <f>Efetivo!AD27+Efetivo!AF27</f>
        <v>0</v>
      </c>
      <c r="I32" s="805">
        <f>Efetivo!AJ27</f>
        <v>0</v>
      </c>
      <c r="J32" s="1159">
        <f>SUM(Efetivo!AB27+Efetivo!AR27+Efetivo!AL27+Efetivo!AT27+Efetivo!BG27)</f>
        <v>0</v>
      </c>
      <c r="K32" s="1160"/>
      <c r="L32" s="805">
        <f t="shared" si="0"/>
        <v>0</v>
      </c>
      <c r="M32" s="297"/>
    </row>
    <row r="33" spans="1:13" hidden="1">
      <c r="A33" s="140"/>
      <c r="B33" s="804">
        <f>Efetivo!D28</f>
        <v>0</v>
      </c>
      <c r="C33" s="1161">
        <f>Efetivo!B28</f>
        <v>0</v>
      </c>
      <c r="D33" s="1161"/>
      <c r="E33" s="1161"/>
      <c r="F33" s="803">
        <f>Efetivo!S28</f>
        <v>0</v>
      </c>
      <c r="G33" s="805">
        <f>Efetivo!Z28</f>
        <v>0</v>
      </c>
      <c r="H33" s="805">
        <f>Efetivo!AD28+Efetivo!AF28</f>
        <v>0</v>
      </c>
      <c r="I33" s="805">
        <f>Efetivo!AJ28</f>
        <v>0</v>
      </c>
      <c r="J33" s="1159">
        <f>SUM(Efetivo!AB28+Efetivo!AR28+Efetivo!AL28+Efetivo!AT28+Efetivo!BG28)</f>
        <v>0</v>
      </c>
      <c r="K33" s="1160"/>
      <c r="L33" s="805">
        <f t="shared" si="0"/>
        <v>0</v>
      </c>
      <c r="M33" s="297"/>
    </row>
    <row r="34" spans="1:13" hidden="1">
      <c r="A34" s="140"/>
      <c r="B34" s="804">
        <f>Efetivo!D29</f>
        <v>0</v>
      </c>
      <c r="C34" s="1161">
        <f>Efetivo!B29</f>
        <v>0</v>
      </c>
      <c r="D34" s="1161"/>
      <c r="E34" s="1161"/>
      <c r="F34" s="803">
        <f>Efetivo!S29</f>
        <v>0</v>
      </c>
      <c r="G34" s="805">
        <f>Efetivo!Z29</f>
        <v>0</v>
      </c>
      <c r="H34" s="805">
        <f>Efetivo!AD29+Efetivo!AF29</f>
        <v>0</v>
      </c>
      <c r="I34" s="805">
        <f>Efetivo!AJ29</f>
        <v>0</v>
      </c>
      <c r="J34" s="1159">
        <f>SUM(Efetivo!AB29+Efetivo!AR29+Efetivo!AL29+Efetivo!AT29+Efetivo!BG29)</f>
        <v>0</v>
      </c>
      <c r="K34" s="1160"/>
      <c r="L34" s="805">
        <f t="shared" si="0"/>
        <v>0</v>
      </c>
      <c r="M34" s="297"/>
    </row>
    <row r="35" spans="1:13" hidden="1">
      <c r="A35" s="140"/>
      <c r="B35" s="804">
        <f>Efetivo!D30</f>
        <v>0</v>
      </c>
      <c r="C35" s="1161">
        <f>Efetivo!B30</f>
        <v>0</v>
      </c>
      <c r="D35" s="1161"/>
      <c r="E35" s="1161"/>
      <c r="F35" s="803">
        <f>Efetivo!S30</f>
        <v>0</v>
      </c>
      <c r="G35" s="805">
        <f>Efetivo!Z30</f>
        <v>0</v>
      </c>
      <c r="H35" s="805">
        <f>Efetivo!AD30+Efetivo!AF30</f>
        <v>0</v>
      </c>
      <c r="I35" s="805">
        <f>Efetivo!AJ30</f>
        <v>0</v>
      </c>
      <c r="J35" s="1159">
        <f>SUM(Efetivo!AB30+Efetivo!AR30+Efetivo!AL30+Efetivo!AT30+Efetivo!BG30)</f>
        <v>0</v>
      </c>
      <c r="K35" s="1160"/>
      <c r="L35" s="805">
        <f t="shared" si="0"/>
        <v>0</v>
      </c>
      <c r="M35" s="297"/>
    </row>
    <row r="36" spans="1:13" hidden="1">
      <c r="A36" s="140"/>
      <c r="B36" s="804">
        <f>Efetivo!D31</f>
        <v>0</v>
      </c>
      <c r="C36" s="1161">
        <f>Efetivo!B31</f>
        <v>0</v>
      </c>
      <c r="D36" s="1161"/>
      <c r="E36" s="1161"/>
      <c r="F36" s="803">
        <f>Efetivo!S31</f>
        <v>0</v>
      </c>
      <c r="G36" s="805">
        <f>Efetivo!Z31</f>
        <v>0</v>
      </c>
      <c r="H36" s="805">
        <f>Efetivo!AD31+Efetivo!AF31</f>
        <v>0</v>
      </c>
      <c r="I36" s="805">
        <f>Efetivo!AJ31</f>
        <v>0</v>
      </c>
      <c r="J36" s="1159">
        <f>SUM(Efetivo!AB31+Efetivo!AR31+Efetivo!AL31+Efetivo!AT31+Efetivo!BG31)</f>
        <v>0</v>
      </c>
      <c r="K36" s="1160"/>
      <c r="L36" s="805">
        <f t="shared" si="0"/>
        <v>0</v>
      </c>
      <c r="M36" s="297"/>
    </row>
    <row r="37" spans="1:13" hidden="1">
      <c r="A37" s="140"/>
      <c r="B37" s="804">
        <f>Efetivo!D32</f>
        <v>0</v>
      </c>
      <c r="C37" s="1161">
        <f>Efetivo!B32</f>
        <v>0</v>
      </c>
      <c r="D37" s="1161"/>
      <c r="E37" s="1161"/>
      <c r="F37" s="803">
        <f>Efetivo!S32</f>
        <v>0</v>
      </c>
      <c r="G37" s="805">
        <f>Efetivo!Z32</f>
        <v>0</v>
      </c>
      <c r="H37" s="805">
        <f>Efetivo!AD32+Efetivo!AF32</f>
        <v>0</v>
      </c>
      <c r="I37" s="805">
        <f>Efetivo!AJ32</f>
        <v>0</v>
      </c>
      <c r="J37" s="1159">
        <f>SUM(Efetivo!AB32+Efetivo!AR32+Efetivo!AL32+Efetivo!AT32+Efetivo!BG32)</f>
        <v>0</v>
      </c>
      <c r="K37" s="1160"/>
      <c r="L37" s="805">
        <f t="shared" si="0"/>
        <v>0</v>
      </c>
      <c r="M37" s="297"/>
    </row>
    <row r="38" spans="1:13" hidden="1">
      <c r="A38" s="140"/>
      <c r="B38" s="804">
        <f>Efetivo!D33</f>
        <v>0</v>
      </c>
      <c r="C38" s="1161">
        <f>Efetivo!B33</f>
        <v>0</v>
      </c>
      <c r="D38" s="1161"/>
      <c r="E38" s="1161"/>
      <c r="F38" s="803">
        <f>Efetivo!S33</f>
        <v>0</v>
      </c>
      <c r="G38" s="805">
        <f>Efetivo!Z33</f>
        <v>0</v>
      </c>
      <c r="H38" s="805">
        <f>Efetivo!AD33+Efetivo!AF33</f>
        <v>0</v>
      </c>
      <c r="I38" s="805">
        <f>Efetivo!AJ33</f>
        <v>0</v>
      </c>
      <c r="J38" s="1159">
        <f>SUM(Efetivo!AB33+Efetivo!AR33+Efetivo!AL33+Efetivo!AT33+Efetivo!BG33)</f>
        <v>0</v>
      </c>
      <c r="K38" s="1160"/>
      <c r="L38" s="805">
        <f t="shared" si="0"/>
        <v>0</v>
      </c>
      <c r="M38" s="297"/>
    </row>
    <row r="39" spans="1:13" hidden="1">
      <c r="A39" s="140"/>
      <c r="B39" s="804">
        <f>Efetivo!D34</f>
        <v>0</v>
      </c>
      <c r="C39" s="1161">
        <f>Efetivo!B34</f>
        <v>0</v>
      </c>
      <c r="D39" s="1161"/>
      <c r="E39" s="1161"/>
      <c r="F39" s="803">
        <f>Efetivo!S34</f>
        <v>0</v>
      </c>
      <c r="G39" s="805">
        <f>Efetivo!Z34</f>
        <v>0</v>
      </c>
      <c r="H39" s="805">
        <f>Efetivo!AD34+Efetivo!AF34</f>
        <v>0</v>
      </c>
      <c r="I39" s="805">
        <f>Efetivo!AJ34</f>
        <v>0</v>
      </c>
      <c r="J39" s="1159">
        <f>SUM(Efetivo!AB34+Efetivo!AR34+Efetivo!AL34+Efetivo!AT34+Efetivo!BG34)</f>
        <v>0</v>
      </c>
      <c r="K39" s="1160"/>
      <c r="L39" s="805">
        <f t="shared" si="0"/>
        <v>0</v>
      </c>
      <c r="M39" s="297"/>
    </row>
    <row r="40" spans="1:13" hidden="1">
      <c r="A40" s="140"/>
      <c r="B40" s="804">
        <f>Efetivo!D35</f>
        <v>0</v>
      </c>
      <c r="C40" s="1161">
        <f>Efetivo!B35</f>
        <v>0</v>
      </c>
      <c r="D40" s="1161"/>
      <c r="E40" s="1161"/>
      <c r="F40" s="803">
        <f>Efetivo!S35</f>
        <v>0</v>
      </c>
      <c r="G40" s="805">
        <f>Efetivo!Z35</f>
        <v>0</v>
      </c>
      <c r="H40" s="805">
        <f>Efetivo!AD35+Efetivo!AF35</f>
        <v>0</v>
      </c>
      <c r="I40" s="805">
        <f>Efetivo!AJ35</f>
        <v>0</v>
      </c>
      <c r="J40" s="1159">
        <f>SUM(Efetivo!AB35+Efetivo!AR35+Efetivo!AL35+Efetivo!AT35+Efetivo!BG35)</f>
        <v>0</v>
      </c>
      <c r="K40" s="1160"/>
      <c r="L40" s="805">
        <f t="shared" si="0"/>
        <v>0</v>
      </c>
      <c r="M40" s="297"/>
    </row>
    <row r="41" spans="1:13" hidden="1">
      <c r="A41" s="140"/>
      <c r="B41" s="804">
        <f>Efetivo!D36</f>
        <v>0</v>
      </c>
      <c r="C41" s="1161">
        <f>Efetivo!B36</f>
        <v>0</v>
      </c>
      <c r="D41" s="1161"/>
      <c r="E41" s="1161"/>
      <c r="F41" s="803">
        <f>Efetivo!S36</f>
        <v>0</v>
      </c>
      <c r="G41" s="805">
        <f>Efetivo!Z36</f>
        <v>0</v>
      </c>
      <c r="H41" s="805">
        <f>Efetivo!AD36+Efetivo!AF36</f>
        <v>0</v>
      </c>
      <c r="I41" s="805">
        <f>Efetivo!AJ36</f>
        <v>0</v>
      </c>
      <c r="J41" s="1159">
        <f>SUM(Efetivo!AB36+Efetivo!AR36+Efetivo!AL36+Efetivo!AT36+Efetivo!BG36)</f>
        <v>0</v>
      </c>
      <c r="K41" s="1160"/>
      <c r="L41" s="805">
        <f t="shared" si="0"/>
        <v>0</v>
      </c>
      <c r="M41" s="297"/>
    </row>
    <row r="42" spans="1:13" hidden="1">
      <c r="A42" s="140"/>
      <c r="B42" s="804">
        <f>Efetivo!D37</f>
        <v>0</v>
      </c>
      <c r="C42" s="1161">
        <f>Efetivo!B37</f>
        <v>0</v>
      </c>
      <c r="D42" s="1161"/>
      <c r="E42" s="1161"/>
      <c r="F42" s="803">
        <f>Efetivo!S37</f>
        <v>0</v>
      </c>
      <c r="G42" s="805">
        <f>Efetivo!Z37</f>
        <v>0</v>
      </c>
      <c r="H42" s="805">
        <f>Efetivo!AD37+Efetivo!AF37</f>
        <v>0</v>
      </c>
      <c r="I42" s="805">
        <f>Efetivo!AJ37</f>
        <v>0</v>
      </c>
      <c r="J42" s="1159">
        <f>SUM(Efetivo!AB37+Efetivo!AR37+Efetivo!AL37+Efetivo!AT37+Efetivo!BG37)</f>
        <v>0</v>
      </c>
      <c r="K42" s="1160"/>
      <c r="L42" s="805">
        <f t="shared" si="0"/>
        <v>0</v>
      </c>
      <c r="M42" s="297"/>
    </row>
    <row r="43" spans="1:13" ht="13.5" hidden="1" customHeight="1">
      <c r="A43" s="140"/>
      <c r="B43" s="804">
        <f>Efetivo!D38</f>
        <v>0</v>
      </c>
      <c r="C43" s="1161">
        <f>Efetivo!B38</f>
        <v>0</v>
      </c>
      <c r="D43" s="1161"/>
      <c r="E43" s="1161"/>
      <c r="F43" s="803">
        <f>Efetivo!S38</f>
        <v>0</v>
      </c>
      <c r="G43" s="805">
        <f>Efetivo!Z38</f>
        <v>0</v>
      </c>
      <c r="H43" s="805">
        <f>Efetivo!AD38+Efetivo!AF38</f>
        <v>0</v>
      </c>
      <c r="I43" s="805">
        <f>Efetivo!AJ38</f>
        <v>0</v>
      </c>
      <c r="J43" s="1159">
        <f>SUM(Efetivo!AB38+Efetivo!AR38+Efetivo!AL38+Efetivo!AT38+Efetivo!BG38)</f>
        <v>0</v>
      </c>
      <c r="K43" s="1160"/>
      <c r="L43" s="805">
        <f t="shared" si="0"/>
        <v>0</v>
      </c>
      <c r="M43" s="297"/>
    </row>
    <row r="44" spans="1:13" hidden="1">
      <c r="A44" s="140"/>
      <c r="B44" s="804">
        <f>Efetivo!D39</f>
        <v>0</v>
      </c>
      <c r="C44" s="1161">
        <f>Efetivo!B39</f>
        <v>0</v>
      </c>
      <c r="D44" s="1161"/>
      <c r="E44" s="1161"/>
      <c r="F44" s="803">
        <f>Efetivo!S39</f>
        <v>0</v>
      </c>
      <c r="G44" s="805">
        <f>Efetivo!Z39</f>
        <v>0</v>
      </c>
      <c r="H44" s="805">
        <f>Efetivo!AD39+Efetivo!AF39</f>
        <v>0</v>
      </c>
      <c r="I44" s="805">
        <f>Efetivo!AJ39</f>
        <v>0</v>
      </c>
      <c r="J44" s="1159">
        <f>SUM(Efetivo!AB39+Efetivo!AR39+Efetivo!AL39+Efetivo!AT39+Efetivo!BG39)</f>
        <v>0</v>
      </c>
      <c r="K44" s="1160"/>
      <c r="L44" s="805">
        <f t="shared" si="0"/>
        <v>0</v>
      </c>
      <c r="M44" s="297"/>
    </row>
    <row r="45" spans="1:13" hidden="1">
      <c r="A45" s="140"/>
      <c r="B45" s="804">
        <f>Efetivo!D40</f>
        <v>0</v>
      </c>
      <c r="C45" s="1161">
        <f>Efetivo!B40</f>
        <v>0</v>
      </c>
      <c r="D45" s="1161"/>
      <c r="E45" s="1161"/>
      <c r="F45" s="803">
        <f>Efetivo!S40</f>
        <v>0</v>
      </c>
      <c r="G45" s="805">
        <f>Efetivo!Z40</f>
        <v>0</v>
      </c>
      <c r="H45" s="805">
        <f>Efetivo!AD40+Efetivo!AF40</f>
        <v>0</v>
      </c>
      <c r="I45" s="805">
        <f>Efetivo!AJ40</f>
        <v>0</v>
      </c>
      <c r="J45" s="1159">
        <f>SUM(Efetivo!AB40+Efetivo!AR40+Efetivo!AL40+Efetivo!AT40+Efetivo!BG40)</f>
        <v>0</v>
      </c>
      <c r="K45" s="1160"/>
      <c r="L45" s="805">
        <f t="shared" si="0"/>
        <v>0</v>
      </c>
      <c r="M45" s="297"/>
    </row>
    <row r="46" spans="1:13" hidden="1">
      <c r="A46" s="140"/>
      <c r="B46" s="804">
        <f>Efetivo!D41</f>
        <v>0</v>
      </c>
      <c r="C46" s="1161">
        <f>Efetivo!B41</f>
        <v>0</v>
      </c>
      <c r="D46" s="1161"/>
      <c r="E46" s="1161"/>
      <c r="F46" s="803">
        <f>Efetivo!S41</f>
        <v>0</v>
      </c>
      <c r="G46" s="805">
        <f>Efetivo!Z41</f>
        <v>0</v>
      </c>
      <c r="H46" s="805">
        <f>Efetivo!AD41+Efetivo!AF41</f>
        <v>0</v>
      </c>
      <c r="I46" s="805">
        <f>Efetivo!AJ41</f>
        <v>0</v>
      </c>
      <c r="J46" s="1159">
        <f>SUM(Efetivo!AB41+Efetivo!AR41+Efetivo!AL41+Efetivo!AT41+Efetivo!BG41)</f>
        <v>0</v>
      </c>
      <c r="K46" s="1160"/>
      <c r="L46" s="805">
        <f t="shared" si="0"/>
        <v>0</v>
      </c>
      <c r="M46" s="297"/>
    </row>
    <row r="47" spans="1:13" hidden="1">
      <c r="A47" s="140"/>
      <c r="B47" s="804">
        <f>Efetivo!D42</f>
        <v>0</v>
      </c>
      <c r="C47" s="1161">
        <f>Efetivo!B42</f>
        <v>0</v>
      </c>
      <c r="D47" s="1161"/>
      <c r="E47" s="1161"/>
      <c r="F47" s="803">
        <f>Efetivo!S42</f>
        <v>0</v>
      </c>
      <c r="G47" s="805">
        <f>Efetivo!Z42</f>
        <v>0</v>
      </c>
      <c r="H47" s="805">
        <f>Efetivo!AD42+Efetivo!AF42</f>
        <v>0</v>
      </c>
      <c r="I47" s="805">
        <f>Efetivo!AJ42</f>
        <v>0</v>
      </c>
      <c r="J47" s="1159">
        <f>SUM(Efetivo!AB42+Efetivo!AR42+Efetivo!AL42+Efetivo!AT42+Efetivo!BG42)</f>
        <v>0</v>
      </c>
      <c r="K47" s="1160"/>
      <c r="L47" s="805">
        <f t="shared" si="0"/>
        <v>0</v>
      </c>
      <c r="M47" s="297"/>
    </row>
    <row r="48" spans="1:13" hidden="1">
      <c r="A48" s="140"/>
      <c r="B48" s="804">
        <f>Efetivo!D43</f>
        <v>0</v>
      </c>
      <c r="C48" s="1161">
        <f>Efetivo!B43</f>
        <v>0</v>
      </c>
      <c r="D48" s="1161"/>
      <c r="E48" s="1161"/>
      <c r="F48" s="803">
        <f>Efetivo!S43</f>
        <v>0</v>
      </c>
      <c r="G48" s="805">
        <f>Efetivo!Z43</f>
        <v>0</v>
      </c>
      <c r="H48" s="805">
        <f>Efetivo!AD43+Efetivo!AF43</f>
        <v>0</v>
      </c>
      <c r="I48" s="805">
        <f>Efetivo!AJ43</f>
        <v>0</v>
      </c>
      <c r="J48" s="1159">
        <f>SUM(Efetivo!AB43+Efetivo!AR43+Efetivo!AL43+Efetivo!AT43+Efetivo!BG43)</f>
        <v>0</v>
      </c>
      <c r="K48" s="1160"/>
      <c r="L48" s="805">
        <f t="shared" si="0"/>
        <v>0</v>
      </c>
      <c r="M48" s="297"/>
    </row>
    <row r="49" spans="1:13" hidden="1">
      <c r="A49" s="140"/>
      <c r="B49" s="804">
        <f>Efetivo!D44</f>
        <v>0</v>
      </c>
      <c r="C49" s="1161">
        <f>Efetivo!B44</f>
        <v>0</v>
      </c>
      <c r="D49" s="1161"/>
      <c r="E49" s="1161"/>
      <c r="F49" s="803">
        <f>Efetivo!S44</f>
        <v>0</v>
      </c>
      <c r="G49" s="805">
        <f>Efetivo!Z44</f>
        <v>0</v>
      </c>
      <c r="H49" s="805">
        <f>Efetivo!AD44+Efetivo!AF44</f>
        <v>0</v>
      </c>
      <c r="I49" s="805">
        <f>Efetivo!AJ44</f>
        <v>0</v>
      </c>
      <c r="J49" s="1159">
        <f>SUM(Efetivo!AB44+Efetivo!AR44+Efetivo!AL44+Efetivo!AT44+Efetivo!BG44)</f>
        <v>0</v>
      </c>
      <c r="K49" s="1160"/>
      <c r="L49" s="805">
        <f t="shared" si="0"/>
        <v>0</v>
      </c>
      <c r="M49" s="297"/>
    </row>
    <row r="50" spans="1:13" hidden="1">
      <c r="A50" s="140"/>
      <c r="B50" s="804">
        <f>Efetivo!D45</f>
        <v>0</v>
      </c>
      <c r="C50" s="1161">
        <f>Efetivo!B45</f>
        <v>0</v>
      </c>
      <c r="D50" s="1161"/>
      <c r="E50" s="1161"/>
      <c r="F50" s="803">
        <f>Efetivo!S45</f>
        <v>0</v>
      </c>
      <c r="G50" s="805">
        <f>Efetivo!Z45</f>
        <v>0</v>
      </c>
      <c r="H50" s="805">
        <f>Efetivo!AD45+Efetivo!AF45</f>
        <v>0</v>
      </c>
      <c r="I50" s="805">
        <f>Efetivo!AJ45</f>
        <v>0</v>
      </c>
      <c r="J50" s="1159">
        <f>SUM(Efetivo!AB45+Efetivo!AR45+Efetivo!AL45+Efetivo!AT45+Efetivo!BG45)</f>
        <v>0</v>
      </c>
      <c r="K50" s="1160"/>
      <c r="L50" s="805">
        <f t="shared" si="0"/>
        <v>0</v>
      </c>
      <c r="M50" s="297"/>
    </row>
    <row r="51" spans="1:13" hidden="1">
      <c r="A51" s="140"/>
      <c r="B51" s="804">
        <f>Efetivo!D46</f>
        <v>0</v>
      </c>
      <c r="C51" s="1161">
        <f>Efetivo!B46</f>
        <v>0</v>
      </c>
      <c r="D51" s="1161"/>
      <c r="E51" s="1161"/>
      <c r="F51" s="803">
        <f>Efetivo!S46</f>
        <v>0</v>
      </c>
      <c r="G51" s="805">
        <f>Efetivo!Z46</f>
        <v>0</v>
      </c>
      <c r="H51" s="805">
        <f>Efetivo!AD46+Efetivo!AF46</f>
        <v>0</v>
      </c>
      <c r="I51" s="805">
        <f>Efetivo!AJ46</f>
        <v>0</v>
      </c>
      <c r="J51" s="1159">
        <f>SUM(Efetivo!AB46+Efetivo!AR46+Efetivo!AL46+Efetivo!AT46+Efetivo!BG46)</f>
        <v>0</v>
      </c>
      <c r="K51" s="1160"/>
      <c r="L51" s="805">
        <f t="shared" si="0"/>
        <v>0</v>
      </c>
      <c r="M51" s="297"/>
    </row>
    <row r="52" spans="1:13" hidden="1">
      <c r="A52" s="140"/>
      <c r="B52" s="804">
        <f>Efetivo!D47</f>
        <v>0</v>
      </c>
      <c r="C52" s="1161">
        <f>Efetivo!B47</f>
        <v>0</v>
      </c>
      <c r="D52" s="1161"/>
      <c r="E52" s="1161"/>
      <c r="F52" s="803">
        <f>Efetivo!S47</f>
        <v>0</v>
      </c>
      <c r="G52" s="805">
        <f>Efetivo!Z47</f>
        <v>0</v>
      </c>
      <c r="H52" s="805">
        <f>Efetivo!AD47+Efetivo!AF47</f>
        <v>0</v>
      </c>
      <c r="I52" s="805">
        <f>Efetivo!AJ47</f>
        <v>0</v>
      </c>
      <c r="J52" s="1159">
        <f>SUM(Efetivo!AB47+Efetivo!AR47+Efetivo!AL47+Efetivo!AT47+Efetivo!BG47)</f>
        <v>0</v>
      </c>
      <c r="K52" s="1160"/>
      <c r="L52" s="805">
        <f t="shared" si="0"/>
        <v>0</v>
      </c>
      <c r="M52" s="297"/>
    </row>
    <row r="53" spans="1:13" hidden="1">
      <c r="A53" s="140"/>
      <c r="B53" s="804">
        <f>Efetivo!D48</f>
        <v>0</v>
      </c>
      <c r="C53" s="1161">
        <f>Efetivo!B48</f>
        <v>0</v>
      </c>
      <c r="D53" s="1161"/>
      <c r="E53" s="1161"/>
      <c r="F53" s="803">
        <f>Efetivo!S48</f>
        <v>0</v>
      </c>
      <c r="G53" s="805">
        <f>Efetivo!Z48</f>
        <v>0</v>
      </c>
      <c r="H53" s="805">
        <f>Efetivo!AD48+Efetivo!AF48</f>
        <v>0</v>
      </c>
      <c r="I53" s="805">
        <f>Efetivo!AJ48</f>
        <v>0</v>
      </c>
      <c r="J53" s="1159">
        <f>SUM(Efetivo!AB48+Efetivo!AR48+Efetivo!AL48+Efetivo!AT48+Efetivo!BG48)</f>
        <v>0</v>
      </c>
      <c r="K53" s="1160"/>
      <c r="L53" s="805">
        <f t="shared" si="0"/>
        <v>0</v>
      </c>
      <c r="M53" s="297"/>
    </row>
    <row r="54" spans="1:13" hidden="1">
      <c r="A54" s="140"/>
      <c r="B54" s="804">
        <f>Efetivo!D49</f>
        <v>0</v>
      </c>
      <c r="C54" s="1161">
        <f>Efetivo!B49</f>
        <v>0</v>
      </c>
      <c r="D54" s="1161"/>
      <c r="E54" s="1161"/>
      <c r="F54" s="803">
        <f>Efetivo!S49</f>
        <v>0</v>
      </c>
      <c r="G54" s="805">
        <f>Efetivo!Z49</f>
        <v>0</v>
      </c>
      <c r="H54" s="805">
        <f>Efetivo!AD49+Efetivo!AF49</f>
        <v>0</v>
      </c>
      <c r="I54" s="805">
        <f>Efetivo!AJ49</f>
        <v>0</v>
      </c>
      <c r="J54" s="1159">
        <f>SUM(Efetivo!AB49+Efetivo!AR49+Efetivo!AL49+Efetivo!AT49+Efetivo!BG49)</f>
        <v>0</v>
      </c>
      <c r="K54" s="1160"/>
      <c r="L54" s="805">
        <f t="shared" si="0"/>
        <v>0</v>
      </c>
      <c r="M54" s="297"/>
    </row>
    <row r="55" spans="1:13" hidden="1">
      <c r="A55" s="140"/>
      <c r="B55" s="804">
        <f>Efetivo!D50</f>
        <v>0</v>
      </c>
      <c r="C55" s="1161">
        <f>Efetivo!B50</f>
        <v>0</v>
      </c>
      <c r="D55" s="1161"/>
      <c r="E55" s="1161"/>
      <c r="F55" s="803">
        <f>Efetivo!S50</f>
        <v>0</v>
      </c>
      <c r="G55" s="805">
        <f>Efetivo!Z50</f>
        <v>0</v>
      </c>
      <c r="H55" s="805">
        <f>Efetivo!AD50+Efetivo!AF50</f>
        <v>0</v>
      </c>
      <c r="I55" s="805">
        <f>Efetivo!AJ50</f>
        <v>0</v>
      </c>
      <c r="J55" s="1159">
        <f>SUM(Efetivo!AB50+Efetivo!AR50+Efetivo!AL50+Efetivo!AT50+Efetivo!BG50)</f>
        <v>0</v>
      </c>
      <c r="K55" s="1160"/>
      <c r="L55" s="805">
        <f t="shared" si="0"/>
        <v>0</v>
      </c>
      <c r="M55" s="297"/>
    </row>
    <row r="56" spans="1:13" hidden="1">
      <c r="A56" s="140"/>
      <c r="B56" s="804">
        <f>Efetivo!D51</f>
        <v>0</v>
      </c>
      <c r="C56" s="1161">
        <f>Efetivo!B51</f>
        <v>0</v>
      </c>
      <c r="D56" s="1161"/>
      <c r="E56" s="1161"/>
      <c r="F56" s="803">
        <f>Efetivo!S51</f>
        <v>0</v>
      </c>
      <c r="G56" s="805">
        <f>Efetivo!Z51</f>
        <v>0</v>
      </c>
      <c r="H56" s="805">
        <f>Efetivo!AD51+Efetivo!AF51</f>
        <v>0</v>
      </c>
      <c r="I56" s="805">
        <f>Efetivo!AJ51</f>
        <v>0</v>
      </c>
      <c r="J56" s="1159">
        <f>SUM(Efetivo!AB51+Efetivo!AR51+Efetivo!AL51+Efetivo!AT51+Efetivo!BG51)</f>
        <v>0</v>
      </c>
      <c r="K56" s="1160"/>
      <c r="L56" s="805">
        <f t="shared" si="0"/>
        <v>0</v>
      </c>
      <c r="M56" s="297"/>
    </row>
    <row r="57" spans="1:13" hidden="1">
      <c r="A57" s="140"/>
      <c r="B57" s="804">
        <f>Efetivo!D52</f>
        <v>0</v>
      </c>
      <c r="C57" s="1161">
        <f>Efetivo!B52</f>
        <v>0</v>
      </c>
      <c r="D57" s="1161"/>
      <c r="E57" s="1161"/>
      <c r="F57" s="803">
        <f>Efetivo!S52</f>
        <v>0</v>
      </c>
      <c r="G57" s="805">
        <f>Efetivo!Z52</f>
        <v>0</v>
      </c>
      <c r="H57" s="805">
        <f>Efetivo!AD52+Efetivo!AF52</f>
        <v>0</v>
      </c>
      <c r="I57" s="805">
        <f>Efetivo!AJ52</f>
        <v>0</v>
      </c>
      <c r="J57" s="1159">
        <f>SUM(Efetivo!AB52+Efetivo!AR52+Efetivo!AL52+Efetivo!AT52+Efetivo!BG52)</f>
        <v>0</v>
      </c>
      <c r="K57" s="1160"/>
      <c r="L57" s="805">
        <f t="shared" si="0"/>
        <v>0</v>
      </c>
      <c r="M57" s="297"/>
    </row>
    <row r="58" spans="1:13" hidden="1">
      <c r="A58" s="140"/>
      <c r="B58" s="804">
        <f>Efetivo!D53</f>
        <v>0</v>
      </c>
      <c r="C58" s="1161">
        <f>Efetivo!B53</f>
        <v>0</v>
      </c>
      <c r="D58" s="1161"/>
      <c r="E58" s="1161"/>
      <c r="F58" s="803">
        <f>Efetivo!S53</f>
        <v>0</v>
      </c>
      <c r="G58" s="805">
        <f>Efetivo!Z53</f>
        <v>0</v>
      </c>
      <c r="H58" s="805">
        <f>Efetivo!AD53+Efetivo!AF53</f>
        <v>0</v>
      </c>
      <c r="I58" s="805">
        <f>Efetivo!AJ53</f>
        <v>0</v>
      </c>
      <c r="J58" s="1159">
        <f>SUM(Efetivo!AB53+Efetivo!AR53+Efetivo!AL53+Efetivo!AT53+Efetivo!BG53)</f>
        <v>0</v>
      </c>
      <c r="K58" s="1160"/>
      <c r="L58" s="805">
        <f t="shared" si="0"/>
        <v>0</v>
      </c>
      <c r="M58" s="297"/>
    </row>
    <row r="59" spans="1:13" hidden="1">
      <c r="A59" s="140"/>
      <c r="B59" s="804">
        <f>Efetivo!D54</f>
        <v>0</v>
      </c>
      <c r="C59" s="1161">
        <f>Efetivo!B54</f>
        <v>0</v>
      </c>
      <c r="D59" s="1161"/>
      <c r="E59" s="1161"/>
      <c r="F59" s="803">
        <f>Efetivo!S54</f>
        <v>0</v>
      </c>
      <c r="G59" s="805">
        <f>Efetivo!Z54</f>
        <v>0</v>
      </c>
      <c r="H59" s="805">
        <f>Efetivo!AD54+Efetivo!AF54</f>
        <v>0</v>
      </c>
      <c r="I59" s="805">
        <f>Efetivo!AJ54</f>
        <v>0</v>
      </c>
      <c r="J59" s="1159">
        <f>SUM(Efetivo!AB54+Efetivo!AR54+Efetivo!AL54+Efetivo!AT54+Efetivo!BG54)</f>
        <v>0</v>
      </c>
      <c r="K59" s="1160"/>
      <c r="L59" s="805">
        <f t="shared" si="0"/>
        <v>0</v>
      </c>
      <c r="M59" s="297"/>
    </row>
    <row r="60" spans="1:13" ht="5.25" customHeight="1" thickBot="1">
      <c r="A60" s="140"/>
      <c r="B60" s="298"/>
      <c r="C60" s="299"/>
      <c r="D60" s="300"/>
      <c r="E60" s="300"/>
      <c r="F60" s="301"/>
      <c r="G60" s="301"/>
      <c r="H60" s="301"/>
      <c r="I60" s="301"/>
      <c r="J60" s="301"/>
      <c r="K60" s="301"/>
      <c r="L60" s="301"/>
      <c r="M60" s="302"/>
    </row>
    <row r="61" spans="1:13" ht="13.5" thickBot="1">
      <c r="A61" s="140"/>
      <c r="B61" s="355">
        <f>SUM(B16:B59)</f>
        <v>3</v>
      </c>
      <c r="C61" s="1226" t="s">
        <v>198</v>
      </c>
      <c r="D61" s="1226"/>
      <c r="E61" s="1226"/>
      <c r="F61" s="356">
        <f>IF(Efetivo!AV56&gt;0,Efetivo!AV56,0)</f>
        <v>0</v>
      </c>
      <c r="G61" s="357">
        <f>IF(F61=0,0,"Folguistas")</f>
        <v>0</v>
      </c>
      <c r="H61" s="304"/>
      <c r="I61" s="303"/>
      <c r="J61" s="1269" t="s">
        <v>197</v>
      </c>
      <c r="K61" s="1269"/>
      <c r="L61" s="418">
        <f>TRUNC((SUM(L16:L60)),2)</f>
        <v>7782.03</v>
      </c>
      <c r="M61" s="302"/>
    </row>
    <row r="62" spans="1:13" ht="5.25" customHeight="1">
      <c r="A62" s="140"/>
      <c r="B62" s="305"/>
      <c r="C62" s="299"/>
      <c r="D62" s="300"/>
      <c r="E62" s="300"/>
      <c r="F62" s="301"/>
      <c r="G62" s="301"/>
      <c r="H62" s="301"/>
      <c r="I62" s="301"/>
      <c r="J62" s="301"/>
      <c r="K62" s="301"/>
      <c r="L62" s="301"/>
      <c r="M62" s="302"/>
    </row>
    <row r="63" spans="1:13" ht="11.25" customHeight="1">
      <c r="A63" s="140"/>
      <c r="B63" s="305"/>
      <c r="C63" s="1270">
        <f>IF(L63&lt;&gt;0,"Valor com incidência diferenciada de Encargos Sociais:",0)</f>
        <v>0</v>
      </c>
      <c r="D63" s="1271"/>
      <c r="E63" s="1271"/>
      <c r="F63" s="1271"/>
      <c r="G63" s="1271"/>
      <c r="H63" s="1271"/>
      <c r="I63" s="1271"/>
      <c r="J63" s="1271"/>
      <c r="K63" s="1271"/>
      <c r="L63" s="419">
        <f>TRUNC((-Efetivo!AX56),2)</f>
        <v>0</v>
      </c>
      <c r="M63" s="302"/>
    </row>
    <row r="64" spans="1:13" ht="5.25" customHeight="1">
      <c r="A64" s="140"/>
      <c r="B64" s="305"/>
      <c r="C64" s="299"/>
      <c r="D64" s="300"/>
      <c r="E64" s="300"/>
      <c r="F64" s="301"/>
      <c r="G64" s="301"/>
      <c r="H64" s="301"/>
      <c r="I64" s="301"/>
      <c r="J64" s="301"/>
      <c r="K64" s="301"/>
      <c r="L64" s="301"/>
      <c r="M64" s="302"/>
    </row>
    <row r="65" spans="1:16" ht="12" customHeight="1">
      <c r="A65" s="140"/>
      <c r="B65" s="305"/>
      <c r="C65" s="306"/>
      <c r="D65" s="307"/>
      <c r="E65" s="307"/>
      <c r="F65" s="308"/>
      <c r="G65" s="308"/>
      <c r="H65" s="308"/>
      <c r="I65" s="308"/>
      <c r="J65" s="1243" t="s">
        <v>244</v>
      </c>
      <c r="K65" s="1243"/>
      <c r="L65" s="829">
        <f>TRUNC(SUM(L61,L63),2)</f>
        <v>7782.03</v>
      </c>
      <c r="M65" s="302"/>
      <c r="O65" s="1147"/>
      <c r="P65" s="1147"/>
    </row>
    <row r="66" spans="1:16" ht="3.75" customHeight="1" thickBot="1">
      <c r="A66" s="140"/>
      <c r="B66" s="309"/>
      <c r="C66" s="310"/>
      <c r="D66" s="140"/>
      <c r="E66" s="140"/>
      <c r="F66" s="140"/>
      <c r="G66" s="140"/>
      <c r="H66" s="140"/>
      <c r="I66" s="140"/>
      <c r="J66" s="140"/>
      <c r="K66" s="140"/>
      <c r="L66" s="166"/>
      <c r="M66" s="140"/>
    </row>
    <row r="67" spans="1:16" ht="12" customHeight="1" thickBot="1">
      <c r="A67" s="140"/>
      <c r="B67" s="1197" t="s">
        <v>140</v>
      </c>
      <c r="C67" s="1198"/>
      <c r="D67" s="1198"/>
      <c r="E67" s="1198"/>
      <c r="F67" s="1198"/>
      <c r="G67" s="1198"/>
      <c r="H67" s="1198"/>
      <c r="I67" s="1198"/>
      <c r="J67" s="1198"/>
      <c r="K67" s="1198"/>
      <c r="L67" s="1198"/>
      <c r="M67" s="1199"/>
      <c r="O67" s="311"/>
    </row>
    <row r="68" spans="1:16" ht="3.75" customHeight="1">
      <c r="A68" s="140"/>
      <c r="B68" s="294"/>
      <c r="C68" s="174"/>
      <c r="D68" s="154"/>
      <c r="E68" s="154"/>
      <c r="F68" s="154"/>
      <c r="G68" s="154"/>
      <c r="H68" s="312"/>
      <c r="I68" s="312"/>
      <c r="J68" s="312"/>
      <c r="K68" s="312"/>
      <c r="L68" s="313"/>
      <c r="M68" s="140"/>
    </row>
    <row r="69" spans="1:16" ht="18.75" customHeight="1">
      <c r="A69" s="140"/>
      <c r="B69" s="314"/>
      <c r="C69" s="1188" t="s">
        <v>141</v>
      </c>
      <c r="D69" s="1189"/>
      <c r="E69" s="1189"/>
      <c r="F69" s="1189"/>
      <c r="G69" s="360"/>
      <c r="H69" s="1151"/>
      <c r="I69" s="1151"/>
      <c r="J69" s="1151"/>
      <c r="K69" s="1151"/>
      <c r="L69" s="1152"/>
      <c r="M69" s="302"/>
      <c r="O69" s="1148"/>
      <c r="P69" s="1148"/>
    </row>
    <row r="70" spans="1:16" ht="10.5" customHeight="1">
      <c r="A70" s="140"/>
      <c r="B70" s="314"/>
      <c r="C70" s="1153" t="s">
        <v>142</v>
      </c>
      <c r="D70" s="1153"/>
      <c r="E70" s="1153"/>
      <c r="F70" s="1153"/>
      <c r="G70" s="777">
        <f>'E S'!F8</f>
        <v>0.2</v>
      </c>
      <c r="H70" s="1154"/>
      <c r="I70" s="1154"/>
      <c r="J70" s="1154"/>
      <c r="K70" s="1154"/>
      <c r="L70" s="783">
        <f>L65*G70</f>
        <v>1556.4059999999999</v>
      </c>
      <c r="M70" s="297"/>
    </row>
    <row r="71" spans="1:16" ht="10.5" customHeight="1">
      <c r="A71" s="140"/>
      <c r="B71" s="314"/>
      <c r="C71" s="1155" t="s">
        <v>143</v>
      </c>
      <c r="D71" s="1155"/>
      <c r="E71" s="1155"/>
      <c r="F71" s="1155"/>
      <c r="G71" s="777">
        <f>IF($G$134&gt;0,0,'E S'!F9)</f>
        <v>1.4999999999999999E-2</v>
      </c>
      <c r="H71" s="1154"/>
      <c r="I71" s="1154"/>
      <c r="J71" s="1154"/>
      <c r="K71" s="1154"/>
      <c r="L71" s="784">
        <f>L65*G71</f>
        <v>116.73044999999999</v>
      </c>
      <c r="M71" s="297"/>
    </row>
    <row r="72" spans="1:16" ht="10.5" customHeight="1">
      <c r="A72" s="140"/>
      <c r="B72" s="314"/>
      <c r="C72" s="1155" t="s">
        <v>144</v>
      </c>
      <c r="D72" s="1155"/>
      <c r="E72" s="1155"/>
      <c r="F72" s="1155"/>
      <c r="G72" s="777">
        <f>IF($G$134&gt;0,0,'E S'!F10)</f>
        <v>0.01</v>
      </c>
      <c r="H72" s="1154"/>
      <c r="I72" s="1154"/>
      <c r="J72" s="1154"/>
      <c r="K72" s="1154"/>
      <c r="L72" s="784">
        <f>L65*G72</f>
        <v>77.820300000000003</v>
      </c>
      <c r="M72" s="297"/>
    </row>
    <row r="73" spans="1:16" ht="10.5" customHeight="1">
      <c r="A73" s="140"/>
      <c r="B73" s="314"/>
      <c r="C73" s="1155" t="s">
        <v>145</v>
      </c>
      <c r="D73" s="1155"/>
      <c r="E73" s="1155"/>
      <c r="F73" s="1155"/>
      <c r="G73" s="777">
        <f>IF($G$134&gt;0,0,'E S'!F11)</f>
        <v>2E-3</v>
      </c>
      <c r="H73" s="1154"/>
      <c r="I73" s="1154"/>
      <c r="J73" s="1154"/>
      <c r="K73" s="1154"/>
      <c r="L73" s="784">
        <f>L65*G73</f>
        <v>15.56406</v>
      </c>
      <c r="M73" s="297"/>
    </row>
    <row r="74" spans="1:16" ht="10.5" customHeight="1">
      <c r="A74" s="140"/>
      <c r="B74" s="314"/>
      <c r="C74" s="1155" t="s">
        <v>146</v>
      </c>
      <c r="D74" s="1155"/>
      <c r="E74" s="1155"/>
      <c r="F74" s="1155"/>
      <c r="G74" s="777">
        <f>IF($G$134&gt;0,0,'E S'!F12)</f>
        <v>2.5000000000000001E-2</v>
      </c>
      <c r="H74" s="1154"/>
      <c r="I74" s="1154"/>
      <c r="J74" s="1154"/>
      <c r="K74" s="1154"/>
      <c r="L74" s="784">
        <f>L65*G74</f>
        <v>194.55074999999999</v>
      </c>
      <c r="M74" s="297"/>
    </row>
    <row r="75" spans="1:16" ht="10.5" customHeight="1">
      <c r="A75" s="140"/>
      <c r="B75" s="314"/>
      <c r="C75" s="1155" t="s">
        <v>147</v>
      </c>
      <c r="D75" s="1155"/>
      <c r="E75" s="1155"/>
      <c r="F75" s="1155"/>
      <c r="G75" s="777">
        <f>'E S'!F13</f>
        <v>0.08</v>
      </c>
      <c r="H75" s="1154"/>
      <c r="I75" s="1154"/>
      <c r="J75" s="1154"/>
      <c r="K75" s="1154"/>
      <c r="L75" s="784">
        <f>L65*G75</f>
        <v>622.56240000000003</v>
      </c>
      <c r="M75" s="297"/>
    </row>
    <row r="76" spans="1:16" ht="10.5" customHeight="1">
      <c r="A76" s="140"/>
      <c r="B76" s="314"/>
      <c r="C76" s="1155" t="s">
        <v>148</v>
      </c>
      <c r="D76" s="1155"/>
      <c r="E76" s="1155"/>
      <c r="F76" s="1155"/>
      <c r="G76" s="777">
        <f>IF('E S'!G14&gt;6%,0%,'E S'!G14)</f>
        <v>0.03</v>
      </c>
      <c r="H76" s="1154"/>
      <c r="I76" s="1154"/>
      <c r="J76" s="1154"/>
      <c r="K76" s="1154"/>
      <c r="L76" s="784">
        <f>L65*G76</f>
        <v>233.46089999999998</v>
      </c>
      <c r="M76" s="297"/>
    </row>
    <row r="77" spans="1:16" ht="10.5" customHeight="1">
      <c r="A77" s="140"/>
      <c r="B77" s="314"/>
      <c r="C77" s="1155" t="s">
        <v>149</v>
      </c>
      <c r="D77" s="1155"/>
      <c r="E77" s="1155"/>
      <c r="F77" s="1155"/>
      <c r="G77" s="777">
        <f>IF($G$134&gt;0,0,'E S'!F16)</f>
        <v>6.0000000000000001E-3</v>
      </c>
      <c r="H77" s="1154"/>
      <c r="I77" s="1154"/>
      <c r="J77" s="1154"/>
      <c r="K77" s="1154"/>
      <c r="L77" s="784">
        <f>L$65*G77</f>
        <v>46.69218</v>
      </c>
      <c r="M77" s="297"/>
    </row>
    <row r="78" spans="1:16" ht="11.25" customHeight="1">
      <c r="A78" s="140"/>
      <c r="B78" s="314"/>
      <c r="C78" s="1206" t="s">
        <v>100</v>
      </c>
      <c r="D78" s="1206"/>
      <c r="E78" s="1206"/>
      <c r="F78" s="1206"/>
      <c r="G78" s="778">
        <f>SUM(G70:G77)</f>
        <v>0.3680000000000001</v>
      </c>
      <c r="H78" s="1154"/>
      <c r="I78" s="1154"/>
      <c r="J78" s="1154"/>
      <c r="K78" s="1154"/>
      <c r="L78" s="785">
        <f>TRUNC((SUM(L70:L77)),2)</f>
        <v>2863.78</v>
      </c>
      <c r="M78" s="297"/>
    </row>
    <row r="79" spans="1:16" ht="18.75" customHeight="1">
      <c r="A79" s="140"/>
      <c r="B79" s="305"/>
      <c r="C79" s="1188" t="s">
        <v>150</v>
      </c>
      <c r="D79" s="1189"/>
      <c r="E79" s="1189"/>
      <c r="F79" s="1189"/>
      <c r="G79" s="779"/>
      <c r="H79" s="1207"/>
      <c r="I79" s="1207"/>
      <c r="J79" s="1207"/>
      <c r="K79" s="1207"/>
      <c r="L79" s="1208"/>
      <c r="M79" s="302"/>
    </row>
    <row r="80" spans="1:16" ht="10.5" customHeight="1">
      <c r="A80" s="140"/>
      <c r="B80" s="314"/>
      <c r="C80" s="1153" t="s">
        <v>579</v>
      </c>
      <c r="D80" s="1153"/>
      <c r="E80" s="1153"/>
      <c r="F80" s="1153"/>
      <c r="G80" s="777">
        <f>'E S'!F22</f>
        <v>8.3333333333333329E-2</v>
      </c>
      <c r="H80" s="1154"/>
      <c r="I80" s="1154"/>
      <c r="J80" s="1154"/>
      <c r="K80" s="1154"/>
      <c r="L80" s="783">
        <f t="shared" ref="L80:L87" si="1">$L$65*G80</f>
        <v>648.50249999999994</v>
      </c>
      <c r="M80" s="297"/>
    </row>
    <row r="81" spans="1:13" ht="10.5" customHeight="1">
      <c r="A81" s="140"/>
      <c r="B81" s="314"/>
      <c r="C81" s="1153" t="s">
        <v>485</v>
      </c>
      <c r="D81" s="1153"/>
      <c r="E81" s="1153"/>
      <c r="F81" s="1153"/>
      <c r="G81" s="777">
        <f>'E S'!F23</f>
        <v>2.7777777777777776E-2</v>
      </c>
      <c r="H81" s="782"/>
      <c r="I81" s="782"/>
      <c r="J81" s="782"/>
      <c r="K81" s="782"/>
      <c r="L81" s="783">
        <f t="shared" si="1"/>
        <v>216.16749999999999</v>
      </c>
      <c r="M81" s="297"/>
    </row>
    <row r="82" spans="1:13" ht="10.5" customHeight="1">
      <c r="A82" s="140"/>
      <c r="B82" s="314"/>
      <c r="C82" s="1155" t="s">
        <v>486</v>
      </c>
      <c r="D82" s="1155"/>
      <c r="E82" s="1155"/>
      <c r="F82" s="1155"/>
      <c r="G82" s="777">
        <f>'E S'!F24</f>
        <v>1.3899999999999999E-2</v>
      </c>
      <c r="H82" s="1154"/>
      <c r="I82" s="1154"/>
      <c r="J82" s="1154"/>
      <c r="K82" s="1154"/>
      <c r="L82" s="783">
        <f t="shared" si="1"/>
        <v>108.17021699999999</v>
      </c>
      <c r="M82" s="297"/>
    </row>
    <row r="83" spans="1:13" ht="10.5" customHeight="1">
      <c r="A83" s="140"/>
      <c r="B83" s="314"/>
      <c r="C83" s="1155" t="s">
        <v>487</v>
      </c>
      <c r="D83" s="1155"/>
      <c r="E83" s="1155"/>
      <c r="F83" s="1155"/>
      <c r="G83" s="777">
        <f>'E S'!F25</f>
        <v>2.0000000000000001E-4</v>
      </c>
      <c r="H83" s="1154"/>
      <c r="I83" s="1154"/>
      <c r="J83" s="1154"/>
      <c r="K83" s="1154"/>
      <c r="L83" s="783">
        <f t="shared" si="1"/>
        <v>1.556406</v>
      </c>
      <c r="M83" s="297"/>
    </row>
    <row r="84" spans="1:13" ht="10.5" customHeight="1">
      <c r="A84" s="140"/>
      <c r="B84" s="314"/>
      <c r="C84" s="1209" t="s">
        <v>488</v>
      </c>
      <c r="D84" s="1210"/>
      <c r="E84" s="1210"/>
      <c r="F84" s="1211"/>
      <c r="G84" s="777">
        <f>'E S'!F26</f>
        <v>2.8E-3</v>
      </c>
      <c r="H84" s="1154"/>
      <c r="I84" s="1154"/>
      <c r="J84" s="1154"/>
      <c r="K84" s="1154"/>
      <c r="L84" s="783">
        <f t="shared" si="1"/>
        <v>21.789683999999998</v>
      </c>
      <c r="M84" s="297"/>
    </row>
    <row r="85" spans="1:13" ht="10.5" customHeight="1">
      <c r="A85" s="140"/>
      <c r="B85" s="314"/>
      <c r="C85" s="1209" t="s">
        <v>489</v>
      </c>
      <c r="D85" s="1210"/>
      <c r="E85" s="1210"/>
      <c r="F85" s="1211"/>
      <c r="G85" s="777">
        <f>'E S'!F27</f>
        <v>3.3E-3</v>
      </c>
      <c r="H85" s="1154"/>
      <c r="I85" s="1154"/>
      <c r="J85" s="1154"/>
      <c r="K85" s="1154"/>
      <c r="L85" s="783">
        <f t="shared" si="1"/>
        <v>25.680699000000001</v>
      </c>
      <c r="M85" s="297"/>
    </row>
    <row r="86" spans="1:13" ht="10.5" customHeight="1">
      <c r="A86" s="140"/>
      <c r="B86" s="314"/>
      <c r="C86" s="1209" t="s">
        <v>490</v>
      </c>
      <c r="D86" s="1210"/>
      <c r="E86" s="1210"/>
      <c r="F86" s="1211"/>
      <c r="G86" s="777">
        <f>'E S'!F28</f>
        <v>4.0000000000000002E-4</v>
      </c>
      <c r="H86" s="782"/>
      <c r="I86" s="782"/>
      <c r="J86" s="782"/>
      <c r="K86" s="782"/>
      <c r="L86" s="783">
        <f t="shared" si="1"/>
        <v>3.1128119999999999</v>
      </c>
      <c r="M86" s="297"/>
    </row>
    <row r="87" spans="1:13" ht="10.5" customHeight="1">
      <c r="A87" s="140"/>
      <c r="B87" s="314"/>
      <c r="C87" s="1209" t="s">
        <v>526</v>
      </c>
      <c r="D87" s="1210"/>
      <c r="E87" s="1210"/>
      <c r="F87" s="1211"/>
      <c r="G87" s="777">
        <f>'E S'!F29</f>
        <v>8.3333333333333329E-2</v>
      </c>
      <c r="H87" s="1154"/>
      <c r="I87" s="1154"/>
      <c r="J87" s="1154"/>
      <c r="K87" s="1154"/>
      <c r="L87" s="783">
        <f t="shared" si="1"/>
        <v>648.50249999999994</v>
      </c>
      <c r="M87" s="297"/>
    </row>
    <row r="88" spans="1:13" ht="12.75" customHeight="1">
      <c r="A88" s="140"/>
      <c r="B88" s="314"/>
      <c r="C88" s="1212" t="s">
        <v>100</v>
      </c>
      <c r="D88" s="1213"/>
      <c r="E88" s="1213"/>
      <c r="F88" s="1214"/>
      <c r="G88" s="778">
        <f>SUM(G80:G87)</f>
        <v>0.21504444444444443</v>
      </c>
      <c r="H88" s="1154"/>
      <c r="I88" s="1154"/>
      <c r="J88" s="1154"/>
      <c r="K88" s="1154"/>
      <c r="L88" s="785">
        <f>TRUNC((SUM(L80:L87)),2)</f>
        <v>1673.48</v>
      </c>
      <c r="M88" s="297"/>
    </row>
    <row r="89" spans="1:13" ht="18.75" customHeight="1">
      <c r="A89" s="140"/>
      <c r="B89" s="314"/>
      <c r="C89" s="1188" t="s">
        <v>151</v>
      </c>
      <c r="D89" s="1189"/>
      <c r="E89" s="1189"/>
      <c r="F89" s="1189"/>
      <c r="G89" s="779"/>
      <c r="H89" s="1207"/>
      <c r="I89" s="1207"/>
      <c r="J89" s="1207"/>
      <c r="K89" s="1207"/>
      <c r="L89" s="1208"/>
      <c r="M89" s="297"/>
    </row>
    <row r="90" spans="1:13" ht="10.5" customHeight="1">
      <c r="A90" s="140"/>
      <c r="B90" s="314"/>
      <c r="C90" s="1209" t="s">
        <v>525</v>
      </c>
      <c r="D90" s="1210"/>
      <c r="E90" s="1210"/>
      <c r="F90" s="1211"/>
      <c r="G90" s="777">
        <f>'E S'!F35</f>
        <v>4.5833333333333334E-3</v>
      </c>
      <c r="H90" s="782"/>
      <c r="I90" s="782"/>
      <c r="J90" s="782"/>
      <c r="K90" s="782"/>
      <c r="L90" s="783">
        <f>$L$65*G90</f>
        <v>35.667637499999998</v>
      </c>
      <c r="M90" s="297"/>
    </row>
    <row r="91" spans="1:13" ht="11.25" customHeight="1">
      <c r="A91" s="140"/>
      <c r="B91" s="314"/>
      <c r="C91" s="1209" t="s">
        <v>491</v>
      </c>
      <c r="D91" s="1210"/>
      <c r="E91" s="1210"/>
      <c r="F91" s="1211"/>
      <c r="G91" s="780">
        <f>'E S'!F36</f>
        <v>8.0000000000000004E-4</v>
      </c>
      <c r="H91" s="1154"/>
      <c r="I91" s="1154"/>
      <c r="J91" s="1154"/>
      <c r="K91" s="1154"/>
      <c r="L91" s="784">
        <f>L65*G91</f>
        <v>6.2256239999999998</v>
      </c>
      <c r="M91" s="297"/>
    </row>
    <row r="92" spans="1:13">
      <c r="A92" s="140"/>
      <c r="B92" s="314"/>
      <c r="C92" s="1209" t="s">
        <v>492</v>
      </c>
      <c r="D92" s="1210"/>
      <c r="E92" s="1210"/>
      <c r="F92" s="1211"/>
      <c r="G92" s="780">
        <f>'E S'!F37</f>
        <v>3.6000000000000004E-2</v>
      </c>
      <c r="H92" s="1154"/>
      <c r="I92" s="1154"/>
      <c r="J92" s="1154"/>
      <c r="K92" s="1154"/>
      <c r="L92" s="784">
        <f>L65*G92</f>
        <v>280.15308000000005</v>
      </c>
      <c r="M92" s="297"/>
    </row>
    <row r="93" spans="1:13" ht="12.75" customHeight="1">
      <c r="A93" s="140"/>
      <c r="B93" s="314"/>
      <c r="C93" s="1212" t="s">
        <v>100</v>
      </c>
      <c r="D93" s="1213"/>
      <c r="E93" s="1213"/>
      <c r="F93" s="1214"/>
      <c r="G93" s="778">
        <f>SUM(G90:G92)</f>
        <v>4.1383333333333341E-2</v>
      </c>
      <c r="H93" s="1154"/>
      <c r="I93" s="1154"/>
      <c r="J93" s="1154"/>
      <c r="K93" s="1154"/>
      <c r="L93" s="785">
        <f>TRUNC((SUM(L90:L92)),2)</f>
        <v>322.04000000000002</v>
      </c>
      <c r="M93" s="297"/>
    </row>
    <row r="94" spans="1:13" ht="18.75" customHeight="1">
      <c r="A94" s="140"/>
      <c r="B94" s="314"/>
      <c r="C94" s="1188" t="s">
        <v>152</v>
      </c>
      <c r="D94" s="1189"/>
      <c r="E94" s="1189"/>
      <c r="F94" s="1189"/>
      <c r="G94" s="779"/>
      <c r="H94" s="1207"/>
      <c r="I94" s="1207"/>
      <c r="J94" s="1207"/>
      <c r="K94" s="1207"/>
      <c r="L94" s="1208"/>
      <c r="M94" s="297"/>
    </row>
    <row r="95" spans="1:13" ht="11.25" customHeight="1">
      <c r="A95" s="140"/>
      <c r="B95" s="314"/>
      <c r="C95" s="1220" t="s">
        <v>589</v>
      </c>
      <c r="D95" s="1221"/>
      <c r="E95" s="1221"/>
      <c r="F95" s="1222"/>
      <c r="G95" s="777">
        <f>IF(G134&gt;0,G78*(G88-G81+G90),'E S'!F43)</f>
        <v>7.0600800000000005E-2</v>
      </c>
      <c r="H95" s="1154"/>
      <c r="I95" s="1154"/>
      <c r="J95" s="1154"/>
      <c r="K95" s="1154"/>
      <c r="L95" s="783">
        <f>L65*G95</f>
        <v>549.41754362400002</v>
      </c>
      <c r="M95" s="297"/>
    </row>
    <row r="96" spans="1:13" ht="11.25" customHeight="1">
      <c r="A96" s="140"/>
      <c r="B96" s="314"/>
      <c r="C96" s="1212" t="s">
        <v>100</v>
      </c>
      <c r="D96" s="1213"/>
      <c r="E96" s="1213"/>
      <c r="F96" s="1214"/>
      <c r="G96" s="778">
        <f>SUM(G95:G95)</f>
        <v>7.0600800000000005E-2</v>
      </c>
      <c r="H96" s="1154"/>
      <c r="I96" s="1154"/>
      <c r="J96" s="1154"/>
      <c r="K96" s="1154"/>
      <c r="L96" s="786">
        <f>TRUNC((SUM(L95:L95)),2)</f>
        <v>549.41</v>
      </c>
      <c r="M96" s="297"/>
    </row>
    <row r="97" spans="1:15" ht="18.75" customHeight="1">
      <c r="A97" s="260"/>
      <c r="B97" s="314"/>
      <c r="C97" s="1215" t="s">
        <v>153</v>
      </c>
      <c r="D97" s="1216"/>
      <c r="E97" s="1216"/>
      <c r="F97" s="1217"/>
      <c r="G97" s="781">
        <f>(G78+G88+G93+G96)</f>
        <v>0.69502857777777782</v>
      </c>
      <c r="H97" s="1218"/>
      <c r="I97" s="1219"/>
      <c r="J97" s="1219"/>
      <c r="K97" s="1219"/>
      <c r="L97" s="787"/>
      <c r="M97" s="297"/>
      <c r="O97" s="338"/>
    </row>
    <row r="98" spans="1:15" ht="12" customHeight="1">
      <c r="A98" s="140"/>
      <c r="B98" s="314"/>
      <c r="C98" s="1244" t="s">
        <v>154</v>
      </c>
      <c r="D98" s="1245"/>
      <c r="E98" s="1245"/>
      <c r="F98" s="1245"/>
      <c r="G98" s="1245"/>
      <c r="H98" s="1245"/>
      <c r="I98" s="1245"/>
      <c r="J98" s="1245"/>
      <c r="K98" s="1245"/>
      <c r="L98" s="361">
        <f>TRUNC((G97*L65),2)</f>
        <v>5408.73</v>
      </c>
      <c r="M98" s="297"/>
    </row>
    <row r="99" spans="1:15" ht="6.75" customHeight="1" thickBot="1">
      <c r="A99" s="140"/>
      <c r="B99" s="309"/>
      <c r="C99" s="310"/>
      <c r="D99" s="140"/>
      <c r="E99" s="140"/>
      <c r="F99" s="140"/>
      <c r="G99" s="140"/>
      <c r="H99" s="140"/>
      <c r="I99" s="140"/>
      <c r="J99" s="140"/>
      <c r="K99" s="140"/>
      <c r="L99" s="166"/>
      <c r="M99" s="135"/>
    </row>
    <row r="100" spans="1:15" ht="13.5" thickBot="1">
      <c r="A100" s="140"/>
      <c r="B100" s="1225" t="s">
        <v>155</v>
      </c>
      <c r="C100" s="1226"/>
      <c r="D100" s="1226"/>
      <c r="E100" s="1226"/>
      <c r="F100" s="1226"/>
      <c r="G100" s="1226"/>
      <c r="H100" s="1226"/>
      <c r="I100" s="1226"/>
      <c r="J100" s="1226"/>
      <c r="K100" s="1226"/>
      <c r="L100" s="1226"/>
      <c r="M100" s="1227"/>
    </row>
    <row r="101" spans="1:15" ht="3.75" customHeight="1">
      <c r="A101" s="140"/>
      <c r="B101" s="309"/>
      <c r="C101" s="310"/>
      <c r="D101" s="140"/>
      <c r="E101" s="140"/>
      <c r="F101" s="140"/>
      <c r="G101" s="140"/>
      <c r="H101" s="140"/>
      <c r="I101" s="140"/>
      <c r="J101" s="140"/>
      <c r="K101" s="140"/>
      <c r="L101" s="166"/>
      <c r="M101" s="135"/>
    </row>
    <row r="102" spans="1:15" ht="14.25" customHeight="1">
      <c r="A102" s="140"/>
      <c r="B102" s="309"/>
      <c r="C102" s="1228" t="s">
        <v>79</v>
      </c>
      <c r="D102" s="1229"/>
      <c r="E102" s="1229"/>
      <c r="F102" s="1229"/>
      <c r="G102" s="1230" t="s">
        <v>186</v>
      </c>
      <c r="H102" s="1230"/>
      <c r="I102" s="1230"/>
      <c r="J102" s="1230"/>
      <c r="K102" s="1230"/>
      <c r="L102" s="362" t="s">
        <v>179</v>
      </c>
      <c r="M102" s="135"/>
    </row>
    <row r="103" spans="1:15" ht="9.75" customHeight="1">
      <c r="A103" s="140"/>
      <c r="B103" s="317"/>
      <c r="C103" s="1185" t="str">
        <f>IF(L103=0,0,"Vale Refeição / Alimentação")</f>
        <v>Vale Refeição / Alimentação</v>
      </c>
      <c r="D103" s="1186"/>
      <c r="E103" s="1186"/>
      <c r="F103" s="1187"/>
      <c r="G103" s="1231" t="s">
        <v>406</v>
      </c>
      <c r="H103" s="1232"/>
      <c r="I103" s="1232"/>
      <c r="J103" s="1232"/>
      <c r="K103" s="1233"/>
      <c r="L103" s="798">
        <f>Benefícios!Z4</f>
        <v>667.2</v>
      </c>
      <c r="M103" s="318"/>
    </row>
    <row r="104" spans="1:15" ht="9.75" customHeight="1">
      <c r="A104" s="140"/>
      <c r="B104" s="317"/>
      <c r="C104" s="1185">
        <f>IF(L104=0,0,"Cesta Básica")</f>
        <v>0</v>
      </c>
      <c r="D104" s="1186"/>
      <c r="E104" s="1186"/>
      <c r="F104" s="1187"/>
      <c r="G104" s="1156"/>
      <c r="H104" s="1157"/>
      <c r="I104" s="1157"/>
      <c r="J104" s="1157"/>
      <c r="K104" s="1158"/>
      <c r="L104" s="798">
        <f>Benefícios!AH4</f>
        <v>0</v>
      </c>
      <c r="M104" s="318"/>
    </row>
    <row r="105" spans="1:15" ht="9.75" customHeight="1">
      <c r="A105" s="140"/>
      <c r="B105" s="317"/>
      <c r="C105" s="1185" t="str">
        <f>IF(L105=0,0,"Transporte")</f>
        <v>Transporte</v>
      </c>
      <c r="D105" s="1186"/>
      <c r="E105" s="1186"/>
      <c r="F105" s="1187"/>
      <c r="G105" s="1156"/>
      <c r="H105" s="1157"/>
      <c r="I105" s="1157"/>
      <c r="J105" s="1157"/>
      <c r="K105" s="1158"/>
      <c r="L105" s="798">
        <f>Resumo!P33</f>
        <v>3.54</v>
      </c>
      <c r="M105" s="318"/>
    </row>
    <row r="106" spans="1:15" ht="9.75" customHeight="1">
      <c r="A106" s="140"/>
      <c r="B106" s="317"/>
      <c r="C106" s="1185" t="str">
        <f>IF(L106=0,0,"Uniforme / EPI e EPC")</f>
        <v>Uniforme / EPI e EPC</v>
      </c>
      <c r="D106" s="1186"/>
      <c r="E106" s="1186"/>
      <c r="F106" s="1187"/>
      <c r="G106" s="1156"/>
      <c r="H106" s="1157"/>
      <c r="I106" s="1157"/>
      <c r="J106" s="1157"/>
      <c r="K106" s="1158"/>
      <c r="L106" s="798">
        <f>Resumo!P35</f>
        <v>407.94</v>
      </c>
      <c r="M106" s="318"/>
    </row>
    <row r="107" spans="1:15" ht="9.75" customHeight="1">
      <c r="A107" s="140"/>
      <c r="B107" s="317"/>
      <c r="C107" s="1185" t="str">
        <f>IF(L107=0,0,"Seguro de Vida em Grupo")</f>
        <v>Seguro de Vida em Grupo</v>
      </c>
      <c r="D107" s="1186"/>
      <c r="E107" s="1186"/>
      <c r="F107" s="1187"/>
      <c r="G107" s="1156"/>
      <c r="H107" s="1157"/>
      <c r="I107" s="1157"/>
      <c r="J107" s="1157"/>
      <c r="K107" s="1158"/>
      <c r="L107" s="798">
        <f>Benefícios!BF4</f>
        <v>22.41</v>
      </c>
      <c r="M107" s="318"/>
    </row>
    <row r="108" spans="1:15" ht="9.75" hidden="1" customHeight="1">
      <c r="A108" s="140"/>
      <c r="B108" s="317"/>
      <c r="C108" s="1185">
        <f>IF(L108=0,0,"Assistência Médica")</f>
        <v>0</v>
      </c>
      <c r="D108" s="1186"/>
      <c r="E108" s="1186"/>
      <c r="F108" s="1187"/>
      <c r="G108" s="1156"/>
      <c r="H108" s="1157"/>
      <c r="I108" s="1157"/>
      <c r="J108" s="1157"/>
      <c r="K108" s="1158"/>
      <c r="L108" s="784">
        <f>Benefícios!AP4</f>
        <v>0</v>
      </c>
      <c r="M108" s="318"/>
    </row>
    <row r="109" spans="1:15" ht="9.75" hidden="1" customHeight="1">
      <c r="A109" s="140"/>
      <c r="B109" s="317"/>
      <c r="C109" s="1185">
        <f>IF(L109=0,0,"Asistência Odontológica")</f>
        <v>0</v>
      </c>
      <c r="D109" s="1186"/>
      <c r="E109" s="1186"/>
      <c r="F109" s="1187"/>
      <c r="G109" s="1156"/>
      <c r="H109" s="1157"/>
      <c r="I109" s="1157"/>
      <c r="J109" s="1157"/>
      <c r="K109" s="1158"/>
      <c r="L109" s="784">
        <f>Benefícios!AX4</f>
        <v>0</v>
      </c>
      <c r="M109" s="318"/>
    </row>
    <row r="110" spans="1:15" ht="9.75" hidden="1" customHeight="1">
      <c r="A110" s="140"/>
      <c r="B110" s="317"/>
      <c r="C110" s="1185">
        <f>IF(L110=0,0,"Treinamento")</f>
        <v>0</v>
      </c>
      <c r="D110" s="1186"/>
      <c r="E110" s="1186"/>
      <c r="F110" s="1187"/>
      <c r="G110" s="1156"/>
      <c r="H110" s="1157"/>
      <c r="I110" s="1157"/>
      <c r="J110" s="1157"/>
      <c r="K110" s="1158"/>
      <c r="L110" s="784">
        <f>Resumo!P43</f>
        <v>0</v>
      </c>
      <c r="M110" s="318"/>
    </row>
    <row r="111" spans="1:15" ht="9.75" customHeight="1">
      <c r="A111" s="140"/>
      <c r="B111" s="317"/>
      <c r="C111" s="1185" t="str">
        <f>IF(L111=0,0,"Material")</f>
        <v>Material</v>
      </c>
      <c r="D111" s="1186"/>
      <c r="E111" s="1186"/>
      <c r="F111" s="1187"/>
      <c r="G111" s="1156"/>
      <c r="H111" s="1157"/>
      <c r="I111" s="1157"/>
      <c r="J111" s="1157"/>
      <c r="K111" s="1158"/>
      <c r="L111" s="784">
        <f>Resumo!P45</f>
        <v>397.2</v>
      </c>
      <c r="M111" s="318"/>
    </row>
    <row r="112" spans="1:15" ht="9.75" customHeight="1">
      <c r="A112" s="140"/>
      <c r="B112" s="317"/>
      <c r="C112" s="1185" t="str">
        <f>IF(L112=0,0,"Equipamentos e Utensílios - Depreciação")</f>
        <v>Equipamentos e Utensílios - Depreciação</v>
      </c>
      <c r="D112" s="1186"/>
      <c r="E112" s="1186"/>
      <c r="F112" s="1187"/>
      <c r="G112" s="1156"/>
      <c r="H112" s="1157"/>
      <c r="I112" s="1157"/>
      <c r="J112" s="1157"/>
      <c r="K112" s="1158"/>
      <c r="L112" s="784">
        <f>DE!O8</f>
        <v>1376.58</v>
      </c>
      <c r="M112" s="318"/>
    </row>
    <row r="113" spans="1:13" ht="9.75" customHeight="1">
      <c r="A113" s="140"/>
      <c r="B113" s="317"/>
      <c r="C113" s="1185" t="str">
        <f>IF(L113=0,0,"Manutenção e Peças - Equipamentos")</f>
        <v>Manutenção e Peças - Equipamentos</v>
      </c>
      <c r="D113" s="1186"/>
      <c r="E113" s="1186"/>
      <c r="F113" s="1187"/>
      <c r="G113" s="799"/>
      <c r="H113" s="800"/>
      <c r="I113" s="800"/>
      <c r="J113" s="800"/>
      <c r="K113" s="801"/>
      <c r="L113" s="784">
        <f>DE!S8</f>
        <v>50.08</v>
      </c>
      <c r="M113" s="318"/>
    </row>
    <row r="114" spans="1:13" ht="9.75" customHeight="1">
      <c r="A114" s="140"/>
      <c r="B114" s="317"/>
      <c r="C114" s="1185" t="str">
        <f>IF(L114=0,0,"Veículos - Depreciação")</f>
        <v>Veículos - Depreciação</v>
      </c>
      <c r="D114" s="1186"/>
      <c r="E114" s="1186"/>
      <c r="F114" s="1187"/>
      <c r="G114" s="1156"/>
      <c r="H114" s="1157"/>
      <c r="I114" s="1157"/>
      <c r="J114" s="1157"/>
      <c r="K114" s="1158"/>
      <c r="L114" s="784">
        <f>Resumo!P49</f>
        <v>495.31</v>
      </c>
      <c r="M114" s="318"/>
    </row>
    <row r="115" spans="1:13" ht="9.75" customHeight="1">
      <c r="A115" s="140"/>
      <c r="B115" s="317"/>
      <c r="C115" s="1185" t="str">
        <f>IF(L115=0,0,"Despesas Operacionais com Veículos")</f>
        <v>Despesas Operacionais com Veículos</v>
      </c>
      <c r="D115" s="1186"/>
      <c r="E115" s="1186"/>
      <c r="F115" s="1187"/>
      <c r="G115" s="1156"/>
      <c r="H115" s="1157"/>
      <c r="I115" s="1157"/>
      <c r="J115" s="1157"/>
      <c r="K115" s="1158"/>
      <c r="L115" s="784">
        <f>DV!S8</f>
        <v>1844.57</v>
      </c>
      <c r="M115" s="318"/>
    </row>
    <row r="116" spans="1:13" ht="9.75" customHeight="1">
      <c r="A116" s="140"/>
      <c r="B116" s="317"/>
      <c r="C116" s="1185" t="str">
        <f>IF(L116=0,0,"Despesas Gerais")</f>
        <v>Despesas Gerais</v>
      </c>
      <c r="D116" s="1186"/>
      <c r="E116" s="1186"/>
      <c r="F116" s="1187"/>
      <c r="G116" s="1156"/>
      <c r="H116" s="1157"/>
      <c r="I116" s="1157"/>
      <c r="J116" s="1157"/>
      <c r="K116" s="1158"/>
      <c r="L116" s="784">
        <f>DG!K7</f>
        <v>6151.12</v>
      </c>
      <c r="M116" s="318"/>
    </row>
    <row r="117" spans="1:13" ht="9.75" customHeight="1">
      <c r="A117" s="140"/>
      <c r="B117" s="317"/>
      <c r="C117" s="1185">
        <f>IF(L117=0,0,Benefícios!BP2)</f>
        <v>0</v>
      </c>
      <c r="D117" s="1186"/>
      <c r="E117" s="1186"/>
      <c r="F117" s="1187"/>
      <c r="G117" s="1156"/>
      <c r="H117" s="1157"/>
      <c r="I117" s="1157"/>
      <c r="J117" s="1157"/>
      <c r="K117" s="1158"/>
      <c r="L117" s="784">
        <f>Benefícios!BV4</f>
        <v>0</v>
      </c>
      <c r="M117" s="318"/>
    </row>
    <row r="118" spans="1:13">
      <c r="A118" s="140"/>
      <c r="B118" s="317"/>
      <c r="C118" s="1244" t="s">
        <v>156</v>
      </c>
      <c r="D118" s="1245"/>
      <c r="E118" s="1245"/>
      <c r="F118" s="1245"/>
      <c r="G118" s="1216"/>
      <c r="H118" s="1216"/>
      <c r="I118" s="1216"/>
      <c r="J118" s="1216"/>
      <c r="K118" s="1216"/>
      <c r="L118" s="420">
        <f>TRUNC(SUM(L103:L117),2)</f>
        <v>11415.95</v>
      </c>
      <c r="M118" s="318"/>
    </row>
    <row r="119" spans="1:13" ht="6.75" customHeight="1">
      <c r="A119" s="140"/>
      <c r="B119" s="317"/>
      <c r="C119" s="358"/>
      <c r="D119" s="359"/>
      <c r="E119" s="359"/>
      <c r="F119" s="359"/>
      <c r="G119" s="359"/>
      <c r="H119" s="359"/>
      <c r="I119" s="359"/>
      <c r="J119" s="359"/>
      <c r="K119" s="359"/>
      <c r="L119" s="364"/>
      <c r="M119" s="318"/>
    </row>
    <row r="120" spans="1:13">
      <c r="A120" s="140"/>
      <c r="B120" s="317"/>
      <c r="C120" s="1215" t="s">
        <v>479</v>
      </c>
      <c r="D120" s="1216"/>
      <c r="E120" s="1216"/>
      <c r="F120" s="1216"/>
      <c r="G120" s="1216"/>
      <c r="H120" s="1216"/>
      <c r="I120" s="1216"/>
      <c r="J120" s="1216"/>
      <c r="K120" s="1216"/>
      <c r="L120" s="420">
        <f>(L61+L98+L118)</f>
        <v>24606.71</v>
      </c>
      <c r="M120" s="318"/>
    </row>
    <row r="121" spans="1:13" ht="6.75" customHeight="1" thickBot="1">
      <c r="A121" s="140"/>
      <c r="B121" s="309"/>
      <c r="C121" s="310"/>
      <c r="D121" s="319"/>
      <c r="E121" s="319"/>
      <c r="F121" s="319"/>
      <c r="G121" s="319"/>
      <c r="H121" s="319"/>
      <c r="I121" s="319"/>
      <c r="J121" s="319"/>
      <c r="K121" s="319"/>
      <c r="L121" s="320"/>
      <c r="M121" s="135"/>
    </row>
    <row r="122" spans="1:13" ht="13.5" thickBot="1">
      <c r="A122" s="140"/>
      <c r="B122" s="1225" t="s">
        <v>0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7"/>
    </row>
    <row r="123" spans="1:13" ht="3.75" customHeight="1" thickBot="1">
      <c r="A123" s="1234"/>
      <c r="B123" s="1234"/>
      <c r="C123" s="1234"/>
      <c r="D123" s="1234"/>
      <c r="E123" s="1234"/>
      <c r="F123" s="1234"/>
      <c r="G123" s="1234"/>
      <c r="H123" s="1234"/>
      <c r="I123" s="1234"/>
      <c r="J123" s="1234"/>
      <c r="K123" s="1234"/>
      <c r="L123" s="1234"/>
      <c r="M123" s="1234"/>
    </row>
    <row r="124" spans="1:13" ht="13.5" thickBot="1">
      <c r="A124" s="140"/>
      <c r="B124" s="1225" t="s">
        <v>592</v>
      </c>
      <c r="C124" s="1226"/>
      <c r="D124" s="1226"/>
      <c r="E124" s="1226"/>
      <c r="F124" s="1226"/>
      <c r="G124" s="1226"/>
      <c r="H124" s="1226"/>
      <c r="I124" s="1226"/>
      <c r="J124" s="1226"/>
      <c r="K124" s="1226"/>
      <c r="L124" s="1226"/>
      <c r="M124" s="1227"/>
    </row>
    <row r="125" spans="1:13" ht="3.75" customHeight="1">
      <c r="A125" s="140"/>
      <c r="B125" s="140"/>
      <c r="C125" s="310"/>
      <c r="D125" s="140"/>
      <c r="E125" s="140"/>
      <c r="F125" s="140"/>
      <c r="G125" s="140"/>
      <c r="H125" s="140"/>
      <c r="I125" s="140"/>
      <c r="J125" s="140"/>
      <c r="K125" s="140"/>
      <c r="L125" s="166"/>
      <c r="M125" s="135"/>
    </row>
    <row r="126" spans="1:13">
      <c r="A126" s="140"/>
      <c r="B126" s="1256"/>
      <c r="C126" s="1274" t="s">
        <v>217</v>
      </c>
      <c r="D126" s="1275"/>
      <c r="E126" s="1275"/>
      <c r="F126" s="1276"/>
      <c r="G126" s="788">
        <f>MC!D6</f>
        <v>0.1462</v>
      </c>
      <c r="H126" s="1237"/>
      <c r="I126" s="1238"/>
      <c r="J126" s="1238"/>
      <c r="K126" s="1239"/>
      <c r="L126" s="795">
        <f>TRUNC(($L$120*G126),2)</f>
        <v>3597.5</v>
      </c>
      <c r="M126" s="1223"/>
    </row>
    <row r="127" spans="1:13" ht="12.75" hidden="1" customHeight="1">
      <c r="A127" s="140"/>
      <c r="B127" s="1257"/>
      <c r="C127" s="1240" t="s">
        <v>100</v>
      </c>
      <c r="D127" s="1241"/>
      <c r="E127" s="1241"/>
      <c r="F127" s="1242"/>
      <c r="G127" s="324">
        <f>SUM(G126:G126)</f>
        <v>0.1462</v>
      </c>
      <c r="H127" s="1237"/>
      <c r="I127" s="1238"/>
      <c r="J127" s="1238"/>
      <c r="K127" s="1239"/>
      <c r="L127" s="325">
        <f>SUM(L126:L126)</f>
        <v>3597.5</v>
      </c>
      <c r="M127" s="1224"/>
    </row>
    <row r="128" spans="1:13" ht="3.75" customHeight="1" thickBot="1">
      <c r="A128" s="140"/>
      <c r="B128" s="310"/>
      <c r="C128" s="327"/>
      <c r="D128" s="327"/>
      <c r="E128" s="327"/>
      <c r="F128" s="327"/>
      <c r="G128" s="328"/>
      <c r="H128" s="315"/>
      <c r="I128" s="315"/>
      <c r="J128" s="315"/>
      <c r="K128" s="315"/>
      <c r="L128" s="329"/>
      <c r="M128" s="310"/>
    </row>
    <row r="129" spans="1:15" ht="13.5" thickBot="1">
      <c r="A129" s="295"/>
      <c r="B129" s="1246" t="s">
        <v>168</v>
      </c>
      <c r="C129" s="1247"/>
      <c r="D129" s="1247"/>
      <c r="E129" s="1247"/>
      <c r="F129" s="1247"/>
      <c r="G129" s="1247"/>
      <c r="H129" s="1247"/>
      <c r="I129" s="1247"/>
      <c r="J129" s="1247"/>
      <c r="K129" s="1247"/>
      <c r="L129" s="1247"/>
      <c r="M129" s="1248"/>
      <c r="N129" s="260"/>
    </row>
    <row r="130" spans="1:15" ht="3.75" customHeight="1">
      <c r="A130" s="295"/>
      <c r="B130" s="238"/>
      <c r="C130" s="1296"/>
      <c r="D130" s="1296"/>
      <c r="E130" s="1296"/>
      <c r="F130" s="1296"/>
      <c r="G130" s="1296"/>
      <c r="H130" s="1297"/>
      <c r="I130" s="1297"/>
      <c r="J130" s="1297"/>
      <c r="K130" s="1297"/>
      <c r="L130" s="1296"/>
      <c r="M130" s="260"/>
    </row>
    <row r="131" spans="1:15" ht="12.75" customHeight="1">
      <c r="A131" s="140"/>
      <c r="B131" s="321"/>
      <c r="C131" s="742" t="str">
        <f>IF(G131=0,0,"01 - ISS")</f>
        <v>01 - ISS</v>
      </c>
      <c r="D131" s="793"/>
      <c r="E131" s="793"/>
      <c r="F131" s="794"/>
      <c r="G131" s="789">
        <f>IF($G$134&gt;0,0,MC!D11)</f>
        <v>0.05</v>
      </c>
      <c r="H131" s="1237"/>
      <c r="I131" s="1238"/>
      <c r="J131" s="1238"/>
      <c r="K131" s="1239"/>
      <c r="L131" s="791">
        <f>TRUNC(((L$120+L$127)/(1-G$135)*G131),2)</f>
        <v>1644.56</v>
      </c>
      <c r="M131" s="1223"/>
    </row>
    <row r="132" spans="1:15" ht="12.75" customHeight="1">
      <c r="A132" s="140"/>
      <c r="B132" s="321"/>
      <c r="C132" s="742" t="str">
        <f>IF(G132=0,0,"02 - PIS")</f>
        <v>02 - PIS</v>
      </c>
      <c r="D132" s="793"/>
      <c r="E132" s="793"/>
      <c r="F132" s="794"/>
      <c r="G132" s="789">
        <f>IF($G$134&gt;0,0,MC!D12)</f>
        <v>1.6500000000000001E-2</v>
      </c>
      <c r="H132" s="1237"/>
      <c r="I132" s="1238"/>
      <c r="J132" s="1238"/>
      <c r="K132" s="1239"/>
      <c r="L132" s="791">
        <f>TRUNC(((L$120+L$127)/(1-G$135)*G132),2)</f>
        <v>542.70000000000005</v>
      </c>
      <c r="M132" s="1224"/>
    </row>
    <row r="133" spans="1:15" ht="12.75" customHeight="1">
      <c r="A133" s="140"/>
      <c r="B133" s="321"/>
      <c r="C133" s="742" t="str">
        <f>IF(G133=0,0,"03 - COFINS")</f>
        <v>03 - COFINS</v>
      </c>
      <c r="D133" s="793"/>
      <c r="E133" s="793"/>
      <c r="F133" s="794"/>
      <c r="G133" s="789">
        <f>IF($G$134&gt;0,0,MC!D13)</f>
        <v>7.5999999999999998E-2</v>
      </c>
      <c r="H133" s="1237"/>
      <c r="I133" s="1238"/>
      <c r="J133" s="1238"/>
      <c r="K133" s="1239"/>
      <c r="L133" s="791">
        <f>TRUNC(((L$120+L$127)/(1-G$135)*G133),2)</f>
        <v>2499.73</v>
      </c>
      <c r="M133" s="1224"/>
    </row>
    <row r="134" spans="1:15" ht="12.75" customHeight="1">
      <c r="A134" s="140"/>
      <c r="B134" s="321"/>
      <c r="C134" s="742">
        <f>IF(G134=0,0,"04 - IMPOSTO SIMPLES ")</f>
        <v>0</v>
      </c>
      <c r="D134" s="743"/>
      <c r="E134" s="743"/>
      <c r="F134" s="744"/>
      <c r="G134" s="789">
        <f>IF(MC!D14&gt;0,MC!D14,0)</f>
        <v>0</v>
      </c>
      <c r="H134" s="322"/>
      <c r="I134" s="315"/>
      <c r="J134" s="315"/>
      <c r="K134" s="323"/>
      <c r="L134" s="791">
        <f>TRUNC(((L$120+L$127)/(1-G$135)*G134),2)</f>
        <v>0</v>
      </c>
      <c r="M134" s="326"/>
    </row>
    <row r="135" spans="1:15">
      <c r="A135" s="140"/>
      <c r="B135" s="321"/>
      <c r="C135" s="1277" t="s">
        <v>100</v>
      </c>
      <c r="D135" s="1278"/>
      <c r="E135" s="1278"/>
      <c r="F135" s="1279"/>
      <c r="G135" s="790">
        <f>SUM(G131:G134)</f>
        <v>0.14250000000000002</v>
      </c>
      <c r="H135" s="322"/>
      <c r="I135" s="315"/>
      <c r="J135" s="315"/>
      <c r="K135" s="323"/>
      <c r="L135" s="792">
        <f>SUM(L131:L134)</f>
        <v>4686.99</v>
      </c>
      <c r="M135" s="326"/>
    </row>
    <row r="136" spans="1:15" ht="7.5" customHeight="1">
      <c r="A136" s="140"/>
      <c r="B136" s="321"/>
      <c r="C136" s="331"/>
      <c r="D136" s="332"/>
      <c r="E136" s="332"/>
      <c r="F136" s="332"/>
      <c r="G136" s="333"/>
      <c r="H136" s="334"/>
      <c r="I136" s="334"/>
      <c r="J136" s="334"/>
      <c r="K136" s="334"/>
      <c r="L136" s="335"/>
      <c r="M136" s="326"/>
    </row>
    <row r="137" spans="1:15">
      <c r="A137" s="140"/>
      <c r="B137" s="321"/>
      <c r="E137" s="363"/>
      <c r="G137" s="330"/>
      <c r="H137" s="1286" t="s">
        <v>170</v>
      </c>
      <c r="I137" s="1286"/>
      <c r="J137" s="1286"/>
      <c r="K137" s="1286"/>
      <c r="L137" s="420">
        <f>SUM(L127,L135)</f>
        <v>8284.49</v>
      </c>
      <c r="M137" s="318"/>
    </row>
    <row r="138" spans="1:15" ht="6.75" customHeight="1">
      <c r="A138" s="140"/>
      <c r="B138" s="321"/>
      <c r="C138" s="1272"/>
      <c r="D138" s="1273"/>
      <c r="E138" s="1273"/>
      <c r="F138" s="1273"/>
      <c r="G138" s="336"/>
      <c r="L138" s="337"/>
      <c r="M138" s="310"/>
    </row>
    <row r="139" spans="1:15" ht="11.25" customHeight="1">
      <c r="A139" s="140"/>
      <c r="B139" s="321"/>
      <c r="C139" s="1215" t="s">
        <v>478</v>
      </c>
      <c r="D139" s="1216"/>
      <c r="E139" s="1216"/>
      <c r="F139" s="1216"/>
      <c r="G139" s="1216"/>
      <c r="H139" s="1216"/>
      <c r="I139" s="1216"/>
      <c r="J139" s="1216"/>
      <c r="K139" s="1216"/>
      <c r="L139" s="364">
        <f>TRUNC((L120+L137),2)</f>
        <v>32891.199999999997</v>
      </c>
      <c r="M139" s="318"/>
      <c r="N139" s="338"/>
    </row>
    <row r="140" spans="1:15" ht="3.75" customHeight="1" thickBot="1">
      <c r="A140" s="140"/>
      <c r="C140" s="164"/>
      <c r="D140" s="135"/>
      <c r="E140" s="135"/>
      <c r="F140" s="135"/>
      <c r="G140" s="135"/>
      <c r="H140" s="135"/>
      <c r="I140" s="135"/>
      <c r="J140" s="135"/>
      <c r="K140" s="135"/>
      <c r="L140" s="166"/>
      <c r="M140" s="135"/>
    </row>
    <row r="141" spans="1:15" ht="13.5" customHeight="1" thickBot="1">
      <c r="A141" s="339"/>
      <c r="B141" s="1246" t="s">
        <v>220</v>
      </c>
      <c r="C141" s="1247"/>
      <c r="D141" s="1247"/>
      <c r="E141" s="1247"/>
      <c r="F141" s="1247"/>
      <c r="G141" s="1247"/>
      <c r="H141" s="1247"/>
      <c r="I141" s="1247"/>
      <c r="J141" s="1247"/>
      <c r="K141" s="1247"/>
      <c r="L141" s="1247"/>
      <c r="M141" s="1248"/>
    </row>
    <row r="142" spans="1:15" ht="4.5" customHeight="1">
      <c r="A142" s="339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</row>
    <row r="143" spans="1:15" ht="2.25" hidden="1" customHeight="1">
      <c r="A143" s="140"/>
      <c r="B143" s="294"/>
      <c r="C143" s="174"/>
      <c r="D143" s="154"/>
      <c r="E143" s="154"/>
      <c r="F143" s="154"/>
      <c r="G143" s="154"/>
      <c r="H143" s="154"/>
      <c r="I143" s="341">
        <f>ROUND(H145*I145,2)</f>
        <v>265.43</v>
      </c>
      <c r="J143" s="154"/>
      <c r="K143" s="154"/>
      <c r="L143" s="166"/>
      <c r="M143" s="135"/>
    </row>
    <row r="144" spans="1:15" ht="20.25" customHeight="1">
      <c r="A144" s="140"/>
      <c r="B144" s="314"/>
      <c r="C144" s="1283" t="s">
        <v>159</v>
      </c>
      <c r="D144" s="1295"/>
      <c r="E144" s="1284"/>
      <c r="F144" s="367" t="s">
        <v>221</v>
      </c>
      <c r="G144" s="366" t="s">
        <v>222</v>
      </c>
      <c r="H144" s="367" t="s">
        <v>223</v>
      </c>
      <c r="I144" s="365" t="s">
        <v>224</v>
      </c>
      <c r="J144" s="1283" t="s">
        <v>177</v>
      </c>
      <c r="K144" s="1284"/>
      <c r="L144" s="367" t="s">
        <v>183</v>
      </c>
      <c r="M144" s="296"/>
      <c r="N144" s="296"/>
      <c r="O144" s="302"/>
    </row>
    <row r="145" spans="1:16" ht="14.25" customHeight="1">
      <c r="A145" s="140"/>
      <c r="B145" s="314"/>
      <c r="C145" s="1292" t="s">
        <v>225</v>
      </c>
      <c r="D145" s="1293"/>
      <c r="E145" s="1294"/>
      <c r="F145" s="775">
        <f>L61</f>
        <v>7782.03</v>
      </c>
      <c r="G145" s="780">
        <v>0.23330000000000001</v>
      </c>
      <c r="H145" s="796">
        <f>IF(F145&lt;=L61,ROUND((F145*G145),2),0)</f>
        <v>1815.55</v>
      </c>
      <c r="I145" s="780">
        <f>G126</f>
        <v>0.1462</v>
      </c>
      <c r="J145" s="1288">
        <f>G135</f>
        <v>0.14250000000000002</v>
      </c>
      <c r="K145" s="1289"/>
      <c r="L145" s="797">
        <f>TRUNC((((H145+I143)/(1-J145)*J145)+H145+I143),2)</f>
        <v>2426.79</v>
      </c>
      <c r="M145" s="297"/>
    </row>
    <row r="146" spans="1:16" ht="12" customHeight="1">
      <c r="A146" s="140"/>
      <c r="B146" s="342"/>
      <c r="C146" s="1215" t="s">
        <v>30</v>
      </c>
      <c r="D146" s="1216"/>
      <c r="E146" s="1216"/>
      <c r="F146" s="1216"/>
      <c r="G146" s="1216"/>
      <c r="H146" s="1216"/>
      <c r="I146" s="1216"/>
      <c r="J146" s="1216"/>
      <c r="K146" s="1216"/>
      <c r="L146" s="368">
        <f>L145</f>
        <v>2426.79</v>
      </c>
      <c r="M146" s="310"/>
    </row>
    <row r="147" spans="1:16" ht="3.75" customHeight="1" thickBot="1">
      <c r="A147" s="140"/>
      <c r="C147" s="164"/>
      <c r="D147" s="135"/>
      <c r="E147" s="135"/>
      <c r="F147" s="135"/>
      <c r="G147" s="135"/>
      <c r="H147" s="135"/>
      <c r="I147" s="135"/>
      <c r="J147" s="135"/>
      <c r="K147" s="135"/>
      <c r="L147" s="166"/>
      <c r="M147" s="135"/>
    </row>
    <row r="148" spans="1:16" ht="13.5" customHeight="1" thickBot="1">
      <c r="A148" s="140"/>
      <c r="B148" s="1225" t="s">
        <v>226</v>
      </c>
      <c r="C148" s="1226"/>
      <c r="D148" s="1226"/>
      <c r="E148" s="1226"/>
      <c r="F148" s="1226"/>
      <c r="G148" s="1226"/>
      <c r="H148" s="1226"/>
      <c r="I148" s="1226"/>
      <c r="J148" s="1226"/>
      <c r="K148" s="1226"/>
      <c r="L148" s="1226"/>
      <c r="M148" s="1227"/>
    </row>
    <row r="149" spans="1:16" ht="3.75" customHeight="1">
      <c r="A149" s="140"/>
      <c r="C149" s="164"/>
      <c r="D149" s="135"/>
      <c r="E149" s="135"/>
      <c r="F149" s="135"/>
      <c r="G149" s="135"/>
      <c r="H149" s="135"/>
      <c r="I149" s="135"/>
      <c r="J149" s="135"/>
      <c r="K149" s="135"/>
      <c r="L149" s="166"/>
      <c r="M149" s="135"/>
    </row>
    <row r="150" spans="1:16" ht="13.5" customHeight="1">
      <c r="A150" s="140"/>
      <c r="B150" s="314"/>
      <c r="C150" s="1258" t="s">
        <v>695</v>
      </c>
      <c r="D150" s="1259"/>
      <c r="E150" s="1259"/>
      <c r="F150" s="1259"/>
      <c r="G150" s="1259"/>
      <c r="H150" s="1259"/>
      <c r="I150" s="1259"/>
      <c r="J150" s="1259"/>
      <c r="K150" s="1259"/>
      <c r="L150" s="1260"/>
      <c r="M150" s="297"/>
    </row>
    <row r="151" spans="1:16" ht="13.5" customHeight="1">
      <c r="A151" s="140"/>
      <c r="B151" s="314"/>
      <c r="C151" s="1261"/>
      <c r="D151" s="1262"/>
      <c r="E151" s="1262"/>
      <c r="F151" s="1262"/>
      <c r="G151" s="1262"/>
      <c r="H151" s="1262"/>
      <c r="I151" s="1262"/>
      <c r="J151" s="1262"/>
      <c r="K151" s="1262"/>
      <c r="L151" s="1263"/>
      <c r="M151" s="297"/>
    </row>
    <row r="152" spans="1:16" ht="13.5" customHeight="1">
      <c r="A152" s="140"/>
      <c r="B152" s="314"/>
      <c r="C152" s="1261"/>
      <c r="D152" s="1262"/>
      <c r="E152" s="1262"/>
      <c r="F152" s="1262"/>
      <c r="G152" s="1262"/>
      <c r="H152" s="1262"/>
      <c r="I152" s="1262"/>
      <c r="J152" s="1262"/>
      <c r="K152" s="1262"/>
      <c r="L152" s="1263"/>
      <c r="M152" s="297"/>
    </row>
    <row r="153" spans="1:16" ht="13.5" hidden="1" customHeight="1">
      <c r="A153" s="140"/>
      <c r="B153" s="314"/>
      <c r="C153" s="1261"/>
      <c r="D153" s="1262"/>
      <c r="E153" s="1262"/>
      <c r="F153" s="1262"/>
      <c r="G153" s="1262"/>
      <c r="H153" s="1262"/>
      <c r="I153" s="1262"/>
      <c r="J153" s="1262"/>
      <c r="K153" s="1262"/>
      <c r="L153" s="1263"/>
      <c r="M153" s="297"/>
    </row>
    <row r="154" spans="1:16" ht="13.5" customHeight="1">
      <c r="A154" s="140"/>
      <c r="B154" s="314"/>
      <c r="C154" s="1264"/>
      <c r="D154" s="1265"/>
      <c r="E154" s="1265"/>
      <c r="F154" s="1265"/>
      <c r="G154" s="1265"/>
      <c r="H154" s="1265"/>
      <c r="I154" s="1265"/>
      <c r="J154" s="1265"/>
      <c r="K154" s="1265"/>
      <c r="L154" s="1266"/>
      <c r="M154" s="297"/>
    </row>
    <row r="155" spans="1:16" ht="9.75" customHeight="1">
      <c r="A155" s="140"/>
      <c r="B155" s="314"/>
      <c r="C155" s="1280" t="s">
        <v>157</v>
      </c>
      <c r="D155" s="1281"/>
      <c r="E155" s="1281"/>
      <c r="F155" s="1281"/>
      <c r="G155" s="1281"/>
      <c r="H155" s="1281"/>
      <c r="I155" s="1281"/>
      <c r="J155" s="1281"/>
      <c r="K155" s="1281"/>
      <c r="L155" s="1282"/>
      <c r="M155" s="302"/>
    </row>
    <row r="156" spans="1:16" ht="4.5" customHeight="1">
      <c r="A156" s="140"/>
      <c r="B156" s="314"/>
      <c r="C156" s="1235"/>
      <c r="D156" s="1236"/>
      <c r="E156" s="1236"/>
      <c r="F156" s="1236"/>
      <c r="G156" s="1236"/>
      <c r="H156" s="1236"/>
      <c r="I156" s="1236"/>
      <c r="J156" s="1236"/>
      <c r="K156" s="1236"/>
      <c r="L156" s="343"/>
      <c r="M156" s="297"/>
    </row>
    <row r="157" spans="1:16" ht="15" customHeight="1">
      <c r="A157" s="140"/>
      <c r="B157" s="305"/>
      <c r="C157" s="316"/>
      <c r="D157" s="308"/>
      <c r="E157" s="308"/>
      <c r="F157" s="308"/>
      <c r="G157" s="308"/>
      <c r="H157" s="308"/>
      <c r="I157" s="344"/>
      <c r="J157" s="344"/>
      <c r="K157" s="369" t="s">
        <v>6</v>
      </c>
      <c r="L157" s="370">
        <f>ADII!L6</f>
        <v>5191.7847463556845</v>
      </c>
      <c r="M157" s="302"/>
    </row>
    <row r="158" spans="1:16" ht="3.75" customHeight="1" thickBot="1">
      <c r="A158" s="140"/>
      <c r="C158" s="164"/>
      <c r="D158" s="135"/>
      <c r="E158" s="135"/>
      <c r="F158" s="135"/>
      <c r="G158" s="135"/>
      <c r="H158" s="135"/>
      <c r="I158" s="135"/>
      <c r="J158" s="135"/>
      <c r="K158" s="135"/>
      <c r="L158" s="166"/>
      <c r="M158" s="135"/>
    </row>
    <row r="159" spans="1:16" ht="18.75" customHeight="1" thickBot="1">
      <c r="A159" s="339"/>
      <c r="B159" s="1290" t="s">
        <v>22</v>
      </c>
      <c r="C159" s="1291"/>
      <c r="D159" s="1291"/>
      <c r="E159" s="1291"/>
      <c r="F159" s="371">
        <f>Dados!C16</f>
        <v>12</v>
      </c>
      <c r="G159" s="371" t="s">
        <v>169</v>
      </c>
      <c r="H159" s="1287" t="s">
        <v>254</v>
      </c>
      <c r="I159" s="1287"/>
      <c r="J159" s="1287"/>
      <c r="K159" s="1166">
        <f>(L139*F159)+(L145+L157)</f>
        <v>402312.97474635567</v>
      </c>
      <c r="L159" s="1166"/>
      <c r="M159" s="1167"/>
      <c r="O159" s="1148"/>
      <c r="P159" s="1148"/>
    </row>
    <row r="160" spans="1:16" ht="3.75" customHeight="1" thickBot="1">
      <c r="A160" s="140"/>
      <c r="C160" s="164"/>
      <c r="D160" s="135"/>
      <c r="E160" s="135"/>
      <c r="F160" s="135"/>
      <c r="G160" s="135"/>
      <c r="H160" s="135"/>
      <c r="I160" s="135"/>
      <c r="J160" s="135"/>
      <c r="K160" s="135"/>
      <c r="L160" s="166"/>
      <c r="M160" s="135"/>
    </row>
    <row r="161" spans="1:16" ht="13.5" customHeight="1" thickBot="1">
      <c r="A161" s="339"/>
      <c r="B161" s="1168" t="s">
        <v>158</v>
      </c>
      <c r="C161" s="1169"/>
      <c r="D161" s="1169"/>
      <c r="E161" s="1169"/>
      <c r="F161" s="1169"/>
      <c r="G161" s="1169"/>
      <c r="H161" s="1169"/>
      <c r="I161" s="1169"/>
      <c r="J161" s="1169"/>
      <c r="K161" s="1169"/>
      <c r="L161" s="1169"/>
      <c r="M161" s="1170"/>
      <c r="O161" s="1285"/>
      <c r="P161" s="1285"/>
    </row>
    <row r="162" spans="1:16" ht="3.75" customHeight="1">
      <c r="A162" s="140"/>
      <c r="B162" s="294"/>
      <c r="C162" s="174"/>
      <c r="D162" s="154"/>
      <c r="E162" s="154"/>
      <c r="F162" s="154"/>
      <c r="G162" s="154"/>
      <c r="H162" s="154"/>
      <c r="I162" s="154"/>
      <c r="J162" s="154"/>
      <c r="K162" s="154"/>
      <c r="L162" s="166"/>
      <c r="M162" s="135"/>
    </row>
    <row r="163" spans="1:16">
      <c r="A163" s="140"/>
      <c r="B163" s="314"/>
      <c r="C163" s="367" t="s">
        <v>139</v>
      </c>
      <c r="D163" s="1283" t="s">
        <v>159</v>
      </c>
      <c r="E163" s="1284"/>
      <c r="F163" s="1283" t="s">
        <v>160</v>
      </c>
      <c r="G163" s="1295"/>
      <c r="H163" s="1295"/>
      <c r="I163" s="1295"/>
      <c r="J163" s="1295"/>
      <c r="K163" s="1295"/>
      <c r="L163" s="1284"/>
      <c r="M163" s="297"/>
      <c r="O163" s="1267"/>
      <c r="P163" s="1268"/>
    </row>
    <row r="164" spans="1:16" ht="22.5" hidden="1" customHeight="1">
      <c r="A164" s="140"/>
      <c r="B164" s="314"/>
      <c r="C164" s="809">
        <f>IF(F61&gt;0,F61,0)</f>
        <v>0</v>
      </c>
      <c r="D164" s="1179">
        <f>IF(C164=0,0,"Folguistas")</f>
        <v>0</v>
      </c>
      <c r="E164" s="1180"/>
      <c r="F164" s="1179">
        <f>IF(C164=0,0,"O Campo Adicionais está contemplando a cobertura de folgas  para os empregados que laboram em regime de escala de revezamento.")</f>
        <v>0</v>
      </c>
      <c r="G164" s="1298"/>
      <c r="H164" s="1298"/>
      <c r="I164" s="1298"/>
      <c r="J164" s="1298"/>
      <c r="K164" s="1298"/>
      <c r="L164" s="1299"/>
      <c r="M164" s="297"/>
      <c r="O164" s="345"/>
    </row>
    <row r="165" spans="1:16" ht="21.75" hidden="1" customHeight="1">
      <c r="A165" s="140"/>
      <c r="B165" s="314"/>
      <c r="C165" s="810"/>
      <c r="D165" s="1149"/>
      <c r="E165" s="1150"/>
      <c r="F165" s="1149"/>
      <c r="G165" s="1177"/>
      <c r="H165" s="1177"/>
      <c r="I165" s="1177"/>
      <c r="J165" s="1177"/>
      <c r="K165" s="1177"/>
      <c r="L165" s="1178"/>
      <c r="M165" s="297"/>
    </row>
    <row r="166" spans="1:16" ht="21.75" hidden="1" customHeight="1">
      <c r="A166" s="140"/>
      <c r="B166" s="314"/>
      <c r="C166" s="810"/>
      <c r="D166" s="1149"/>
      <c r="E166" s="1150"/>
      <c r="F166" s="1149"/>
      <c r="G166" s="1177"/>
      <c r="H166" s="1177"/>
      <c r="I166" s="1177"/>
      <c r="J166" s="1177"/>
      <c r="K166" s="1177"/>
      <c r="L166" s="1178"/>
      <c r="M166" s="297"/>
    </row>
    <row r="167" spans="1:16" ht="26.25" hidden="1" customHeight="1">
      <c r="A167" s="140"/>
      <c r="B167" s="314"/>
      <c r="C167" s="810"/>
      <c r="D167" s="1149"/>
      <c r="E167" s="1150"/>
      <c r="F167" s="1149"/>
      <c r="G167" s="1177"/>
      <c r="H167" s="1177"/>
      <c r="I167" s="1177"/>
      <c r="J167" s="1177"/>
      <c r="K167" s="1177"/>
      <c r="L167" s="1178"/>
      <c r="M167" s="297"/>
    </row>
    <row r="168" spans="1:16" ht="20.25" hidden="1" customHeight="1">
      <c r="A168" s="140"/>
      <c r="B168" s="314"/>
      <c r="C168" s="810"/>
      <c r="D168" s="1149"/>
      <c r="E168" s="1150"/>
      <c r="F168" s="1149"/>
      <c r="G168" s="1177"/>
      <c r="H168" s="1177"/>
      <c r="I168" s="1177"/>
      <c r="J168" s="1177"/>
      <c r="K168" s="1177"/>
      <c r="L168" s="1178"/>
      <c r="M168" s="297"/>
    </row>
    <row r="169" spans="1:16" ht="20.25" hidden="1" customHeight="1">
      <c r="A169" s="140"/>
      <c r="B169" s="314"/>
      <c r="C169" s="810"/>
      <c r="D169" s="1149"/>
      <c r="E169" s="1150"/>
      <c r="F169" s="1149"/>
      <c r="G169" s="1177"/>
      <c r="H169" s="1177"/>
      <c r="I169" s="1177"/>
      <c r="J169" s="1177"/>
      <c r="K169" s="1177"/>
      <c r="L169" s="1178"/>
      <c r="M169" s="297"/>
      <c r="O169" s="346"/>
    </row>
    <row r="170" spans="1:16" ht="20.25" hidden="1" customHeight="1">
      <c r="A170" s="140"/>
      <c r="B170" s="314"/>
      <c r="C170" s="810"/>
      <c r="D170" s="1149"/>
      <c r="E170" s="1150"/>
      <c r="F170" s="1149"/>
      <c r="G170" s="1177"/>
      <c r="H170" s="1177"/>
      <c r="I170" s="1177"/>
      <c r="J170" s="1177"/>
      <c r="K170" s="1177"/>
      <c r="L170" s="1178"/>
      <c r="M170" s="297"/>
    </row>
    <row r="171" spans="1:16">
      <c r="A171" s="140"/>
      <c r="B171" s="314"/>
      <c r="C171" s="811"/>
      <c r="D171" s="1149"/>
      <c r="E171" s="1150"/>
      <c r="F171" s="1149"/>
      <c r="G171" s="1165"/>
      <c r="H171" s="1165"/>
      <c r="I171" s="1165"/>
      <c r="J171" s="1165"/>
      <c r="K171" s="1165"/>
      <c r="L171" s="1150"/>
      <c r="M171" s="297"/>
    </row>
    <row r="172" spans="1:16" s="260" customFormat="1" ht="3.75" customHeight="1">
      <c r="A172" s="140"/>
      <c r="B172" s="309"/>
      <c r="C172" s="310"/>
      <c r="D172" s="140"/>
      <c r="E172" s="140"/>
      <c r="F172" s="140"/>
      <c r="G172" s="140"/>
      <c r="H172" s="140"/>
      <c r="I172" s="140"/>
      <c r="J172" s="140"/>
      <c r="K172" s="140"/>
      <c r="L172" s="284"/>
      <c r="M172" s="140"/>
    </row>
    <row r="173" spans="1:16" ht="3.75" customHeight="1" thickBot="1">
      <c r="A173" s="140"/>
      <c r="B173" s="1249"/>
      <c r="C173" s="1249"/>
      <c r="D173" s="1249"/>
      <c r="E173" s="1249"/>
      <c r="F173" s="1249"/>
      <c r="G173" s="1249"/>
      <c r="H173" s="1249"/>
      <c r="I173" s="1249"/>
      <c r="J173" s="1249"/>
      <c r="K173" s="1249"/>
      <c r="L173" s="1249"/>
      <c r="M173" s="347"/>
    </row>
    <row r="174" spans="1:16" ht="12" customHeight="1" thickBot="1">
      <c r="A174" s="140"/>
      <c r="B174" s="1251" t="s">
        <v>161</v>
      </c>
      <c r="C174" s="1252"/>
      <c r="D174" s="1252"/>
      <c r="E174" s="1252"/>
      <c r="F174" s="1252"/>
      <c r="G174" s="1252"/>
      <c r="H174" s="1252"/>
      <c r="I174" s="1252"/>
      <c r="J174" s="1252"/>
      <c r="K174" s="1252"/>
      <c r="L174" s="1252"/>
      <c r="M174" s="1253"/>
    </row>
    <row r="175" spans="1:16" ht="3.75" customHeight="1" thickBot="1">
      <c r="A175" s="140"/>
      <c r="B175" s="1181"/>
      <c r="C175" s="1181"/>
      <c r="D175" s="1181"/>
      <c r="E175" s="1181"/>
      <c r="F175" s="1181"/>
      <c r="G175" s="1181"/>
      <c r="H175" s="1181"/>
      <c r="I175" s="1181"/>
      <c r="J175" s="1181"/>
      <c r="K175" s="1181"/>
      <c r="L175" s="1181"/>
      <c r="M175" s="347"/>
    </row>
    <row r="176" spans="1:16" ht="55.5" customHeight="1">
      <c r="A176" s="140"/>
      <c r="B176" s="1182" t="s">
        <v>595</v>
      </c>
      <c r="C176" s="1183"/>
      <c r="D176" s="1183"/>
      <c r="E176" s="1183"/>
      <c r="F176" s="1183"/>
      <c r="G176" s="1183"/>
      <c r="H176" s="1183"/>
      <c r="I176" s="1183"/>
      <c r="J176" s="1183"/>
      <c r="K176" s="1183"/>
      <c r="L176" s="1183"/>
      <c r="M176" s="1184"/>
    </row>
    <row r="177" spans="1:13" ht="12" customHeight="1">
      <c r="A177" s="140"/>
      <c r="B177" s="1175" t="s">
        <v>480</v>
      </c>
      <c r="C177" s="1176"/>
      <c r="D177" s="1176"/>
      <c r="E177" s="1176"/>
      <c r="F177" s="1176"/>
      <c r="G177" s="1176"/>
      <c r="H177" s="1176"/>
      <c r="I177" s="1176"/>
      <c r="J177" s="1176"/>
      <c r="K177" s="1176"/>
      <c r="L177" s="1176"/>
      <c r="M177" s="375"/>
    </row>
    <row r="178" spans="1:13" ht="9.75" customHeight="1">
      <c r="A178" s="140"/>
      <c r="B178" s="1175" t="s">
        <v>481</v>
      </c>
      <c r="C178" s="1176"/>
      <c r="D178" s="1176"/>
      <c r="E178" s="1176"/>
      <c r="F178" s="1176"/>
      <c r="G178" s="1176"/>
      <c r="H178" s="1176"/>
      <c r="I178" s="1176"/>
      <c r="J178" s="1176"/>
      <c r="K178" s="1176"/>
      <c r="L178" s="1176"/>
      <c r="M178" s="375"/>
    </row>
    <row r="179" spans="1:13" ht="12" customHeight="1">
      <c r="A179" s="140"/>
      <c r="B179" s="1175" t="s">
        <v>192</v>
      </c>
      <c r="C179" s="1176"/>
      <c r="D179" s="1176"/>
      <c r="E179" s="1176"/>
      <c r="F179" s="1176"/>
      <c r="G179" s="1176"/>
      <c r="H179" s="1176"/>
      <c r="I179" s="1176"/>
      <c r="J179" s="1176"/>
      <c r="K179" s="1176"/>
      <c r="L179" s="1176"/>
      <c r="M179" s="375"/>
    </row>
    <row r="180" spans="1:13" ht="13.5" customHeight="1">
      <c r="A180" s="140"/>
      <c r="B180" s="1175" t="s">
        <v>482</v>
      </c>
      <c r="C180" s="1176"/>
      <c r="D180" s="1176"/>
      <c r="E180" s="1176"/>
      <c r="F180" s="1176"/>
      <c r="G180" s="1176"/>
      <c r="H180" s="1176"/>
      <c r="I180" s="1176"/>
      <c r="J180" s="1176"/>
      <c r="K180" s="1176"/>
      <c r="L180" s="1176"/>
      <c r="M180" s="375"/>
    </row>
    <row r="181" spans="1:13" ht="13.5" customHeight="1">
      <c r="A181" s="140"/>
      <c r="B181" s="1175" t="s">
        <v>193</v>
      </c>
      <c r="C181" s="1176"/>
      <c r="D181" s="1176"/>
      <c r="E181" s="1176"/>
      <c r="F181" s="1176"/>
      <c r="G181" s="1176"/>
      <c r="H181" s="1176"/>
      <c r="I181" s="1176"/>
      <c r="J181" s="1176"/>
      <c r="K181" s="1176"/>
      <c r="L181" s="1176"/>
      <c r="M181" s="375"/>
    </row>
    <row r="182" spans="1:13" ht="16.5" customHeight="1">
      <c r="A182" s="140"/>
      <c r="B182" s="1175" t="s">
        <v>251</v>
      </c>
      <c r="C182" s="1176"/>
      <c r="D182" s="1176"/>
      <c r="E182" s="1176"/>
      <c r="F182" s="1176"/>
      <c r="G182" s="1176"/>
      <c r="H182" s="1176"/>
      <c r="I182" s="1176"/>
      <c r="J182" s="1176"/>
      <c r="K182" s="1176"/>
      <c r="L182" s="1176"/>
      <c r="M182" s="375"/>
    </row>
    <row r="183" spans="1:13" ht="12.75" customHeight="1">
      <c r="A183" s="140"/>
      <c r="B183" s="376">
        <f>'E S'!I47</f>
        <v>0.7307752333333335</v>
      </c>
      <c r="C183" s="1174" t="s">
        <v>601</v>
      </c>
      <c r="D183" s="1174"/>
      <c r="E183" s="1174"/>
      <c r="F183" s="1174"/>
      <c r="G183" s="1174"/>
      <c r="H183" s="1174"/>
      <c r="I183" s="1174"/>
      <c r="J183" s="1174"/>
      <c r="K183" s="1174"/>
      <c r="L183" s="1174"/>
      <c r="M183" s="377"/>
    </row>
    <row r="184" spans="1:13" ht="12.75" customHeight="1">
      <c r="A184" s="140"/>
      <c r="B184" s="376">
        <v>0.1462</v>
      </c>
      <c r="C184" s="1174" t="s">
        <v>253</v>
      </c>
      <c r="D184" s="1174"/>
      <c r="E184" s="1174"/>
      <c r="F184" s="1174"/>
      <c r="G184" s="1174"/>
      <c r="H184" s="1174"/>
      <c r="I184" s="1174"/>
      <c r="J184" s="1174"/>
      <c r="K184" s="1174"/>
      <c r="L184" s="1174"/>
      <c r="M184" s="377"/>
    </row>
    <row r="185" spans="1:13" ht="12.75" customHeight="1">
      <c r="A185" s="140"/>
      <c r="B185" s="376">
        <f>IF(G135&gt;14.25%,14.25%,G135)</f>
        <v>0.14250000000000002</v>
      </c>
      <c r="C185" s="1174" t="s">
        <v>252</v>
      </c>
      <c r="D185" s="1174"/>
      <c r="E185" s="1174"/>
      <c r="F185" s="1174"/>
      <c r="G185" s="1174"/>
      <c r="H185" s="1174"/>
      <c r="I185" s="1174"/>
      <c r="J185" s="1174"/>
      <c r="K185" s="1174"/>
      <c r="L185" s="1174"/>
      <c r="M185" s="377"/>
    </row>
    <row r="186" spans="1:13" ht="24" customHeight="1">
      <c r="A186" s="140"/>
      <c r="B186" s="1171" t="s">
        <v>603</v>
      </c>
      <c r="C186" s="1172"/>
      <c r="D186" s="1172"/>
      <c r="E186" s="1172"/>
      <c r="F186" s="1172"/>
      <c r="G186" s="1172"/>
      <c r="H186" s="1172"/>
      <c r="I186" s="1172"/>
      <c r="J186" s="1172"/>
      <c r="K186" s="1172"/>
      <c r="L186" s="1172"/>
      <c r="M186" s="375"/>
    </row>
    <row r="187" spans="1:13" ht="36" customHeight="1">
      <c r="A187" s="140"/>
      <c r="B187" s="1171" t="s">
        <v>602</v>
      </c>
      <c r="C187" s="1172"/>
      <c r="D187" s="1172"/>
      <c r="E187" s="1172"/>
      <c r="F187" s="1172"/>
      <c r="G187" s="1172"/>
      <c r="H187" s="1172"/>
      <c r="I187" s="1172"/>
      <c r="J187" s="1172"/>
      <c r="K187" s="1172"/>
      <c r="L187" s="1172"/>
      <c r="M187" s="375"/>
    </row>
    <row r="188" spans="1:13" ht="36" customHeight="1">
      <c r="A188" s="140"/>
      <c r="B188" s="1171" t="s">
        <v>604</v>
      </c>
      <c r="C188" s="1172"/>
      <c r="D188" s="1172"/>
      <c r="E188" s="1172"/>
      <c r="F188" s="1172"/>
      <c r="G188" s="1172"/>
      <c r="H188" s="1172"/>
      <c r="I188" s="1172"/>
      <c r="J188" s="1172"/>
      <c r="K188" s="1172"/>
      <c r="L188" s="1172"/>
      <c r="M188" s="375"/>
    </row>
    <row r="189" spans="1:13" ht="43.5" customHeight="1">
      <c r="A189" s="140"/>
      <c r="B189" s="1171" t="s">
        <v>594</v>
      </c>
      <c r="C189" s="1172"/>
      <c r="D189" s="1172"/>
      <c r="E189" s="1172"/>
      <c r="F189" s="1172"/>
      <c r="G189" s="1172"/>
      <c r="H189" s="1172"/>
      <c r="I189" s="1172"/>
      <c r="J189" s="1172"/>
      <c r="K189" s="1172"/>
      <c r="L189" s="1172"/>
      <c r="M189" s="1173"/>
    </row>
    <row r="190" spans="1:13" ht="18.75" customHeight="1">
      <c r="A190" s="140"/>
      <c r="B190" s="1300" t="s">
        <v>572</v>
      </c>
      <c r="C190" s="1301"/>
      <c r="D190" s="1301"/>
      <c r="E190" s="1301"/>
      <c r="F190" s="1301"/>
      <c r="G190" s="1301"/>
      <c r="H190" s="1301"/>
      <c r="I190" s="1301"/>
      <c r="J190" s="1301"/>
      <c r="K190" s="1301"/>
      <c r="L190" s="1301"/>
      <c r="M190" s="375"/>
    </row>
    <row r="191" spans="1:13">
      <c r="A191" s="140"/>
      <c r="B191" s="1175" t="s">
        <v>573</v>
      </c>
      <c r="C191" s="1176"/>
      <c r="D191" s="1176"/>
      <c r="E191" s="1176"/>
      <c r="F191" s="1176"/>
      <c r="G191" s="1176"/>
      <c r="H191" s="1176"/>
      <c r="I191" s="1176"/>
      <c r="J191" s="1176"/>
      <c r="K191" s="1176"/>
      <c r="L191" s="1176"/>
      <c r="M191" s="1255"/>
    </row>
    <row r="192" spans="1:13" ht="17.25" customHeight="1" thickBot="1">
      <c r="A192" s="140"/>
      <c r="B192" s="1162" t="str">
        <f>Dados!C22</f>
        <v xml:space="preserve">Convenção Coletiva de Trabalho do Sindicato dos Técnicos Agrícolas de Nível Médio do Estado de Santa Catarina (CNPJ 80.460.785/0001-14), Lei 4950A/66              
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4"/>
    </row>
    <row r="193" spans="1:13" ht="17.25" customHeight="1" thickBot="1">
      <c r="A193" s="140"/>
      <c r="B193" s="309"/>
      <c r="C193" s="1250"/>
      <c r="D193" s="1250"/>
      <c r="E193" s="1250"/>
      <c r="F193" s="1250"/>
      <c r="G193" s="1250"/>
      <c r="H193" s="1250"/>
      <c r="I193" s="1250"/>
      <c r="J193" s="1250"/>
      <c r="K193" s="1250"/>
      <c r="L193" s="1250"/>
      <c r="M193" s="260"/>
    </row>
    <row r="194" spans="1:13">
      <c r="A194" s="140"/>
      <c r="B194" s="309"/>
      <c r="C194" s="1234"/>
      <c r="D194" s="1234"/>
      <c r="E194" s="374">
        <f ca="1">NOW()</f>
        <v>41095.619070486115</v>
      </c>
      <c r="F194" s="140"/>
      <c r="G194" s="140"/>
      <c r="H194" s="372"/>
      <c r="I194" s="373" t="str">
        <f>Dados!C2</f>
        <v>Douglas Ricardo Hipolito</v>
      </c>
      <c r="J194" s="372"/>
      <c r="K194" s="372"/>
      <c r="L194" s="284"/>
      <c r="M194" s="135"/>
    </row>
  </sheetData>
  <sheetProtection password="C91B" sheet="1" objects="1" scenarios="1" formatCells="0" formatColumns="0" formatRows="0"/>
  <mergeCells count="268">
    <mergeCell ref="B188:L188"/>
    <mergeCell ref="B187:L187"/>
    <mergeCell ref="B186:L186"/>
    <mergeCell ref="B190:L190"/>
    <mergeCell ref="B179:L179"/>
    <mergeCell ref="C105:F105"/>
    <mergeCell ref="C106:F106"/>
    <mergeCell ref="G108:K108"/>
    <mergeCell ref="D163:E163"/>
    <mergeCell ref="C111:F111"/>
    <mergeCell ref="C98:K98"/>
    <mergeCell ref="C130:L130"/>
    <mergeCell ref="G111:K111"/>
    <mergeCell ref="F166:L166"/>
    <mergeCell ref="F165:L165"/>
    <mergeCell ref="F164:L164"/>
    <mergeCell ref="F163:L163"/>
    <mergeCell ref="G110:K110"/>
    <mergeCell ref="C109:F109"/>
    <mergeCell ref="C108:F108"/>
    <mergeCell ref="O159:P159"/>
    <mergeCell ref="O161:P161"/>
    <mergeCell ref="B141:M141"/>
    <mergeCell ref="H137:K137"/>
    <mergeCell ref="H159:J159"/>
    <mergeCell ref="J145:K145"/>
    <mergeCell ref="C146:K146"/>
    <mergeCell ref="B159:E159"/>
    <mergeCell ref="C145:E145"/>
    <mergeCell ref="C144:E144"/>
    <mergeCell ref="O163:P163"/>
    <mergeCell ref="J61:K61"/>
    <mergeCell ref="C63:K63"/>
    <mergeCell ref="C138:F138"/>
    <mergeCell ref="C126:F126"/>
    <mergeCell ref="H127:K127"/>
    <mergeCell ref="H132:K132"/>
    <mergeCell ref="C135:F135"/>
    <mergeCell ref="C155:L155"/>
    <mergeCell ref="J144:K144"/>
    <mergeCell ref="C33:E33"/>
    <mergeCell ref="C34:E34"/>
    <mergeCell ref="C120:K120"/>
    <mergeCell ref="J55:K55"/>
    <mergeCell ref="J58:K58"/>
    <mergeCell ref="C58:E58"/>
    <mergeCell ref="J50:K50"/>
    <mergeCell ref="C43:E43"/>
    <mergeCell ref="J54:K54"/>
    <mergeCell ref="C90:F90"/>
    <mergeCell ref="B191:M191"/>
    <mergeCell ref="C59:E59"/>
    <mergeCell ref="C61:E61"/>
    <mergeCell ref="B126:B127"/>
    <mergeCell ref="C139:K139"/>
    <mergeCell ref="C81:F81"/>
    <mergeCell ref="B148:M148"/>
    <mergeCell ref="C150:L154"/>
    <mergeCell ref="F169:L169"/>
    <mergeCell ref="F168:L168"/>
    <mergeCell ref="C24:E24"/>
    <mergeCell ref="C25:E25"/>
    <mergeCell ref="C26:E26"/>
    <mergeCell ref="C27:E27"/>
    <mergeCell ref="C28:E28"/>
    <mergeCell ref="C29:E29"/>
    <mergeCell ref="C16:E16"/>
    <mergeCell ref="C17:E17"/>
    <mergeCell ref="C18:E18"/>
    <mergeCell ref="C23:E23"/>
    <mergeCell ref="C19:E19"/>
    <mergeCell ref="C20:E20"/>
    <mergeCell ref="C21:E21"/>
    <mergeCell ref="C22:E22"/>
    <mergeCell ref="C194:D194"/>
    <mergeCell ref="B182:L182"/>
    <mergeCell ref="B173:L173"/>
    <mergeCell ref="C193:L193"/>
    <mergeCell ref="B181:L181"/>
    <mergeCell ref="B180:L180"/>
    <mergeCell ref="C183:L183"/>
    <mergeCell ref="C184:L184"/>
    <mergeCell ref="B178:L178"/>
    <mergeCell ref="B174:M174"/>
    <mergeCell ref="J65:K65"/>
    <mergeCell ref="C84:F84"/>
    <mergeCell ref="H84:K84"/>
    <mergeCell ref="H133:K133"/>
    <mergeCell ref="H131:K131"/>
    <mergeCell ref="G114:K114"/>
    <mergeCell ref="C118:K118"/>
    <mergeCell ref="C86:F86"/>
    <mergeCell ref="B129:M129"/>
    <mergeCell ref="C117:F117"/>
    <mergeCell ref="C50:E50"/>
    <mergeCell ref="C53:E53"/>
    <mergeCell ref="C54:E54"/>
    <mergeCell ref="C56:E56"/>
    <mergeCell ref="J59:K59"/>
    <mergeCell ref="B122:M122"/>
    <mergeCell ref="C114:F114"/>
    <mergeCell ref="C115:F115"/>
    <mergeCell ref="G115:K115"/>
    <mergeCell ref="C113:F113"/>
    <mergeCell ref="J49:K49"/>
    <mergeCell ref="J46:K46"/>
    <mergeCell ref="J47:K47"/>
    <mergeCell ref="C46:E46"/>
    <mergeCell ref="C47:E47"/>
    <mergeCell ref="C48:E48"/>
    <mergeCell ref="C49:E49"/>
    <mergeCell ref="J30:K30"/>
    <mergeCell ref="J31:K31"/>
    <mergeCell ref="J32:K32"/>
    <mergeCell ref="J33:K33"/>
    <mergeCell ref="C44:E44"/>
    <mergeCell ref="C45:E45"/>
    <mergeCell ref="J45:K45"/>
    <mergeCell ref="C30:E30"/>
    <mergeCell ref="C31:E31"/>
    <mergeCell ref="C32:E32"/>
    <mergeCell ref="C35:E35"/>
    <mergeCell ref="C36:E36"/>
    <mergeCell ref="C37:E37"/>
    <mergeCell ref="J38:K38"/>
    <mergeCell ref="J34:K34"/>
    <mergeCell ref="J35:K35"/>
    <mergeCell ref="J36:K36"/>
    <mergeCell ref="J37:K37"/>
    <mergeCell ref="J42:K42"/>
    <mergeCell ref="C38:E38"/>
    <mergeCell ref="C39:E39"/>
    <mergeCell ref="J39:K39"/>
    <mergeCell ref="J40:K40"/>
    <mergeCell ref="J41:K41"/>
    <mergeCell ref="C40:E40"/>
    <mergeCell ref="C41:E41"/>
    <mergeCell ref="C42:E42"/>
    <mergeCell ref="J43:K43"/>
    <mergeCell ref="J44:K44"/>
    <mergeCell ref="J48:K48"/>
    <mergeCell ref="D171:E171"/>
    <mergeCell ref="D168:E168"/>
    <mergeCell ref="D169:E169"/>
    <mergeCell ref="D165:E165"/>
    <mergeCell ref="D166:E166"/>
    <mergeCell ref="F167:L167"/>
    <mergeCell ref="B67:M67"/>
    <mergeCell ref="C112:F112"/>
    <mergeCell ref="G112:K112"/>
    <mergeCell ref="A123:M123"/>
    <mergeCell ref="G109:K109"/>
    <mergeCell ref="C156:K156"/>
    <mergeCell ref="B124:M124"/>
    <mergeCell ref="C110:F110"/>
    <mergeCell ref="M126:M127"/>
    <mergeCell ref="H126:K126"/>
    <mergeCell ref="C127:F127"/>
    <mergeCell ref="M131:M133"/>
    <mergeCell ref="G107:K107"/>
    <mergeCell ref="C107:F107"/>
    <mergeCell ref="B100:M100"/>
    <mergeCell ref="C102:F102"/>
    <mergeCell ref="G102:K102"/>
    <mergeCell ref="G106:K106"/>
    <mergeCell ref="C103:F103"/>
    <mergeCell ref="C104:F104"/>
    <mergeCell ref="G103:K103"/>
    <mergeCell ref="G104:K104"/>
    <mergeCell ref="C97:F97"/>
    <mergeCell ref="H97:K97"/>
    <mergeCell ref="G105:K105"/>
    <mergeCell ref="C94:F94"/>
    <mergeCell ref="H94:L94"/>
    <mergeCell ref="C95:F95"/>
    <mergeCell ref="H95:K95"/>
    <mergeCell ref="C96:F96"/>
    <mergeCell ref="H96:K96"/>
    <mergeCell ref="C88:F88"/>
    <mergeCell ref="H88:K88"/>
    <mergeCell ref="C93:F93"/>
    <mergeCell ref="H93:K93"/>
    <mergeCell ref="C89:F89"/>
    <mergeCell ref="H89:L89"/>
    <mergeCell ref="C91:F91"/>
    <mergeCell ref="H91:K91"/>
    <mergeCell ref="C92:F92"/>
    <mergeCell ref="H92:K92"/>
    <mergeCell ref="C87:F87"/>
    <mergeCell ref="H87:K87"/>
    <mergeCell ref="H76:K76"/>
    <mergeCell ref="C77:F77"/>
    <mergeCell ref="H77:K77"/>
    <mergeCell ref="C85:F85"/>
    <mergeCell ref="H85:K85"/>
    <mergeCell ref="C82:F82"/>
    <mergeCell ref="H82:K82"/>
    <mergeCell ref="C83:F83"/>
    <mergeCell ref="H83:K83"/>
    <mergeCell ref="C79:F79"/>
    <mergeCell ref="C78:F78"/>
    <mergeCell ref="H78:K78"/>
    <mergeCell ref="H79:L79"/>
    <mergeCell ref="C80:F80"/>
    <mergeCell ref="H80:K80"/>
    <mergeCell ref="H72:K72"/>
    <mergeCell ref="C73:F73"/>
    <mergeCell ref="H73:K73"/>
    <mergeCell ref="C74:F74"/>
    <mergeCell ref="H74:K74"/>
    <mergeCell ref="C75:F75"/>
    <mergeCell ref="H75:K75"/>
    <mergeCell ref="C76:F76"/>
    <mergeCell ref="J16:K16"/>
    <mergeCell ref="J22:K22"/>
    <mergeCell ref="J21:K21"/>
    <mergeCell ref="J18:K18"/>
    <mergeCell ref="J19:K19"/>
    <mergeCell ref="J17:K17"/>
    <mergeCell ref="J20:K20"/>
    <mergeCell ref="J27:K27"/>
    <mergeCell ref="J28:K28"/>
    <mergeCell ref="C69:F69"/>
    <mergeCell ref="F2:M2"/>
    <mergeCell ref="B11:M11"/>
    <mergeCell ref="J15:K15"/>
    <mergeCell ref="B13:M13"/>
    <mergeCell ref="D5:L5"/>
    <mergeCell ref="B8:C8"/>
    <mergeCell ref="C15:E15"/>
    <mergeCell ref="J57:K57"/>
    <mergeCell ref="C51:E51"/>
    <mergeCell ref="B175:L175"/>
    <mergeCell ref="B176:M176"/>
    <mergeCell ref="J23:K23"/>
    <mergeCell ref="J29:K29"/>
    <mergeCell ref="J24:K24"/>
    <mergeCell ref="C116:F116"/>
    <mergeCell ref="G116:K116"/>
    <mergeCell ref="J25:K25"/>
    <mergeCell ref="J26:K26"/>
    <mergeCell ref="C57:E57"/>
    <mergeCell ref="B192:M192"/>
    <mergeCell ref="F171:L171"/>
    <mergeCell ref="K159:M159"/>
    <mergeCell ref="B161:M161"/>
    <mergeCell ref="B189:M189"/>
    <mergeCell ref="C185:L185"/>
    <mergeCell ref="B177:L177"/>
    <mergeCell ref="F170:L170"/>
    <mergeCell ref="D164:E164"/>
    <mergeCell ref="D167:E167"/>
    <mergeCell ref="J51:K51"/>
    <mergeCell ref="C52:E52"/>
    <mergeCell ref="J52:K52"/>
    <mergeCell ref="C55:E55"/>
    <mergeCell ref="J56:K56"/>
    <mergeCell ref="J53:K53"/>
    <mergeCell ref="O65:P65"/>
    <mergeCell ref="O69:P69"/>
    <mergeCell ref="D170:E170"/>
    <mergeCell ref="H69:L69"/>
    <mergeCell ref="C70:F70"/>
    <mergeCell ref="H70:K70"/>
    <mergeCell ref="C71:F71"/>
    <mergeCell ref="H71:K71"/>
    <mergeCell ref="C72:F72"/>
    <mergeCell ref="G117:K117"/>
  </mergeCells>
  <phoneticPr fontId="0" type="noConversion"/>
  <pageMargins left="0.53" right="0.19685039370078741" top="0.44" bottom="0.44" header="0.21" footer="0.21"/>
  <pageSetup paperSize="9" scale="75" orientation="portrait" blackAndWhite="1" horizontalDpi="300" verticalDpi="300" r:id="rId1"/>
  <headerFooter alignWithMargins="0">
    <oddFooter>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Q47"/>
  <sheetViews>
    <sheetView topLeftCell="P2" workbookViewId="0">
      <selection activeCell="C2" sqref="C1:O65536"/>
    </sheetView>
  </sheetViews>
  <sheetFormatPr defaultRowHeight="12.75"/>
  <cols>
    <col min="1" max="1" width="4.7109375" style="854" customWidth="1"/>
    <col min="2" max="2" width="2" style="854" customWidth="1"/>
    <col min="3" max="3" width="35.5703125" style="854" hidden="1" customWidth="1"/>
    <col min="4" max="4" width="1.5703125" style="854" hidden="1" customWidth="1"/>
    <col min="5" max="5" width="17.5703125" style="852" hidden="1" customWidth="1"/>
    <col min="6" max="6" width="1.7109375" style="852" hidden="1" customWidth="1"/>
    <col min="7" max="7" width="10.85546875" style="852" hidden="1" customWidth="1"/>
    <col min="8" max="8" width="2.28515625" style="852" hidden="1" customWidth="1"/>
    <col min="9" max="9" width="2.28515625" style="854" hidden="1" customWidth="1"/>
    <col min="10" max="10" width="2.42578125" style="854" hidden="1" customWidth="1"/>
    <col min="11" max="11" width="34.7109375" style="854" hidden="1" customWidth="1"/>
    <col min="12" max="12" width="1.28515625" style="854" hidden="1" customWidth="1"/>
    <col min="13" max="13" width="17.28515625" style="854" hidden="1" customWidth="1"/>
    <col min="14" max="14" width="1.42578125" style="854" hidden="1" customWidth="1"/>
    <col min="15" max="15" width="0" style="854" hidden="1" customWidth="1"/>
    <col min="16" max="16" width="1.7109375" style="854" customWidth="1"/>
    <col min="17" max="17" width="11.42578125" style="854" customWidth="1"/>
    <col min="18" max="16384" width="9.140625" style="854"/>
  </cols>
  <sheetData>
    <row r="1" spans="1:16">
      <c r="A1" s="853"/>
      <c r="B1" s="853"/>
      <c r="C1" s="1303" t="s">
        <v>477</v>
      </c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</row>
    <row r="2" spans="1:16">
      <c r="A2" s="853"/>
      <c r="B2" s="853"/>
      <c r="C2" s="853"/>
      <c r="D2" s="853"/>
      <c r="E2" s="101"/>
      <c r="F2" s="101"/>
      <c r="G2" s="101"/>
      <c r="H2" s="101"/>
      <c r="I2" s="853"/>
      <c r="J2" s="853"/>
      <c r="K2" s="853"/>
      <c r="L2" s="853"/>
      <c r="M2" s="853"/>
      <c r="N2" s="853"/>
      <c r="O2" s="853"/>
    </row>
    <row r="3" spans="1:16">
      <c r="B3" s="853"/>
      <c r="C3" s="853"/>
      <c r="D3" s="853"/>
      <c r="E3" s="853"/>
      <c r="F3" s="853"/>
      <c r="G3" s="853"/>
      <c r="H3" s="853"/>
      <c r="J3" s="853"/>
      <c r="K3" s="853"/>
      <c r="L3" s="853"/>
      <c r="M3" s="853"/>
      <c r="N3" s="853"/>
      <c r="O3" s="853"/>
      <c r="P3" s="853"/>
    </row>
    <row r="4" spans="1:16" ht="30" customHeight="1">
      <c r="B4" s="853"/>
      <c r="C4" s="1302" t="s">
        <v>451</v>
      </c>
      <c r="D4" s="1302"/>
      <c r="E4" s="1302"/>
      <c r="F4" s="1302"/>
      <c r="G4" s="1302"/>
      <c r="H4" s="844"/>
      <c r="J4" s="853"/>
      <c r="K4" s="1302" t="s">
        <v>452</v>
      </c>
      <c r="L4" s="1302"/>
      <c r="M4" s="1302"/>
      <c r="N4" s="1302"/>
      <c r="O4" s="1302"/>
      <c r="P4" s="844"/>
    </row>
    <row r="5" spans="1:16" ht="21.75" customHeight="1">
      <c r="B5" s="853"/>
      <c r="C5" s="844" t="s">
        <v>424</v>
      </c>
      <c r="D5" s="849"/>
      <c r="E5" s="844">
        <f>Resumo!F75</f>
        <v>32891.199999999997</v>
      </c>
      <c r="F5" s="850"/>
      <c r="G5" s="855" t="s">
        <v>121</v>
      </c>
      <c r="H5" s="101"/>
      <c r="J5" s="853"/>
      <c r="K5" s="844" t="s">
        <v>424</v>
      </c>
      <c r="L5" s="849"/>
      <c r="M5" s="844">
        <f>Resumo!F75</f>
        <v>32891.199999999997</v>
      </c>
      <c r="N5" s="850"/>
      <c r="O5" s="855" t="s">
        <v>121</v>
      </c>
      <c r="P5" s="101"/>
    </row>
    <row r="6" spans="1:16" ht="21.75" customHeight="1">
      <c r="B6" s="853"/>
      <c r="C6" s="844" t="s">
        <v>425</v>
      </c>
      <c r="D6" s="851"/>
      <c r="E6" s="844">
        <f t="shared" ref="E6:E11" si="0">-$E$5*G6</f>
        <v>-1578.7775999999999</v>
      </c>
      <c r="G6" s="856">
        <f>IF(Consolidado_A!G134&gt;0,0,4.8%)</f>
        <v>4.8000000000000001E-2</v>
      </c>
      <c r="H6" s="101"/>
      <c r="J6" s="853"/>
      <c r="K6" s="844" t="s">
        <v>426</v>
      </c>
      <c r="L6" s="851"/>
      <c r="M6" s="844"/>
      <c r="N6" s="852"/>
      <c r="O6" s="855"/>
      <c r="P6" s="101"/>
    </row>
    <row r="7" spans="1:16" ht="21.75" customHeight="1">
      <c r="B7" s="853"/>
      <c r="C7" s="844" t="s">
        <v>427</v>
      </c>
      <c r="D7" s="851"/>
      <c r="E7" s="844">
        <f t="shared" si="0"/>
        <v>-1644.56</v>
      </c>
      <c r="F7" s="850"/>
      <c r="G7" s="856">
        <f>MC!D11</f>
        <v>0.05</v>
      </c>
      <c r="H7" s="101"/>
      <c r="J7" s="853"/>
      <c r="K7" s="844" t="s">
        <v>428</v>
      </c>
      <c r="L7" s="851"/>
      <c r="M7" s="844"/>
      <c r="N7" s="850"/>
      <c r="O7" s="855"/>
      <c r="P7" s="101"/>
    </row>
    <row r="8" spans="1:16" ht="21.75" customHeight="1">
      <c r="B8" s="853"/>
      <c r="C8" s="844" t="s">
        <v>429</v>
      </c>
      <c r="D8" s="851"/>
      <c r="E8" s="844">
        <f t="shared" si="0"/>
        <v>-986.73599999999988</v>
      </c>
      <c r="G8" s="855">
        <f>IF(Consolidado_A!G134&gt;0,0,3%)</f>
        <v>0.03</v>
      </c>
      <c r="H8" s="855"/>
      <c r="J8" s="853"/>
      <c r="K8" s="844" t="s">
        <v>430</v>
      </c>
      <c r="L8" s="851"/>
      <c r="M8" s="844">
        <f>-M5*O8</f>
        <v>-542.70479999999998</v>
      </c>
      <c r="N8" s="852"/>
      <c r="O8" s="855">
        <f>IF(O11&gt;0,0,Consolidado_A!G132)</f>
        <v>1.6500000000000001E-2</v>
      </c>
      <c r="P8" s="855"/>
    </row>
    <row r="9" spans="1:16" ht="21.75" customHeight="1">
      <c r="B9" s="853"/>
      <c r="C9" s="844" t="s">
        <v>431</v>
      </c>
      <c r="D9" s="851"/>
      <c r="E9" s="844">
        <f t="shared" si="0"/>
        <v>-213.7928</v>
      </c>
      <c r="F9" s="850"/>
      <c r="G9" s="855">
        <f>IF(Consolidado_A!G134&gt;0,0,0.65%)</f>
        <v>6.5000000000000006E-3</v>
      </c>
      <c r="H9" s="857"/>
      <c r="J9" s="853"/>
      <c r="K9" s="844" t="s">
        <v>432</v>
      </c>
      <c r="L9" s="851"/>
      <c r="M9" s="844">
        <f>-M5*O9</f>
        <v>-2499.7311999999997</v>
      </c>
      <c r="N9" s="850"/>
      <c r="O9" s="855">
        <f>IF(O11&gt;0,0,Consolidado_A!G133)</f>
        <v>7.5999999999999998E-2</v>
      </c>
      <c r="P9" s="857"/>
    </row>
    <row r="10" spans="1:16" ht="21.75" customHeight="1">
      <c r="B10" s="853"/>
      <c r="C10" s="844" t="s">
        <v>433</v>
      </c>
      <c r="D10" s="851"/>
      <c r="E10" s="844">
        <f t="shared" si="0"/>
        <v>-328.91199999999998</v>
      </c>
      <c r="G10" s="855">
        <f>IF(Consolidado_A!G134&gt;0,0,1%)</f>
        <v>0.01</v>
      </c>
      <c r="H10" s="855"/>
      <c r="J10" s="853"/>
      <c r="K10" s="844" t="s">
        <v>434</v>
      </c>
      <c r="L10" s="851"/>
      <c r="M10" s="844">
        <f>-M5*O10</f>
        <v>-1644.56</v>
      </c>
      <c r="N10" s="852"/>
      <c r="O10" s="855">
        <f>IF(O11&gt;0,0,Consolidado_A!G131)</f>
        <v>0.05</v>
      </c>
      <c r="P10" s="855"/>
    </row>
    <row r="11" spans="1:16" ht="21.75" customHeight="1">
      <c r="B11" s="853"/>
      <c r="C11" s="844" t="s">
        <v>435</v>
      </c>
      <c r="D11" s="851"/>
      <c r="E11" s="844">
        <f t="shared" si="0"/>
        <v>-3618.0319999999997</v>
      </c>
      <c r="G11" s="855">
        <v>0.11</v>
      </c>
      <c r="H11" s="855"/>
      <c r="J11" s="853"/>
      <c r="K11" s="844" t="s">
        <v>575</v>
      </c>
      <c r="L11" s="851"/>
      <c r="M11" s="844">
        <f>-M5*O11</f>
        <v>0</v>
      </c>
      <c r="N11" s="852"/>
      <c r="O11" s="855">
        <f>Consolidado_A!G134</f>
        <v>0</v>
      </c>
      <c r="P11" s="855"/>
    </row>
    <row r="12" spans="1:16" ht="21.75" customHeight="1">
      <c r="B12" s="853"/>
      <c r="C12" s="844" t="s">
        <v>437</v>
      </c>
      <c r="D12" s="851"/>
      <c r="E12" s="844">
        <f>SUM(E6:E11)</f>
        <v>-8370.8104000000003</v>
      </c>
      <c r="G12" s="855"/>
      <c r="H12" s="855"/>
      <c r="J12" s="853"/>
      <c r="K12" s="844" t="s">
        <v>436</v>
      </c>
      <c r="L12" s="851"/>
      <c r="M12" s="844">
        <f>SUM(M5:M11)</f>
        <v>28204.203999999998</v>
      </c>
      <c r="N12" s="852"/>
      <c r="O12" s="855"/>
      <c r="P12" s="855"/>
    </row>
    <row r="13" spans="1:16" ht="21.75" customHeight="1">
      <c r="B13" s="853"/>
      <c r="C13" s="844" t="s">
        <v>439</v>
      </c>
      <c r="D13" s="851"/>
      <c r="E13" s="844">
        <f>SUM(E5+E12)</f>
        <v>24520.389599999995</v>
      </c>
      <c r="G13" s="855"/>
      <c r="H13" s="101"/>
      <c r="J13" s="853"/>
      <c r="K13" s="844" t="s">
        <v>438</v>
      </c>
      <c r="L13" s="851"/>
      <c r="M13" s="844">
        <f>SUM(E11,E16,E17,E19)</f>
        <v>-22061.760000000002</v>
      </c>
      <c r="N13" s="852"/>
      <c r="O13" s="855"/>
      <c r="P13" s="855"/>
    </row>
    <row r="14" spans="1:16" ht="21.75" hidden="1" customHeight="1">
      <c r="B14" s="853"/>
      <c r="C14" s="844"/>
      <c r="D14" s="851"/>
      <c r="E14" s="844"/>
      <c r="G14" s="855"/>
      <c r="H14" s="855"/>
      <c r="J14" s="853"/>
      <c r="K14" s="844"/>
      <c r="L14" s="851"/>
      <c r="M14" s="844"/>
      <c r="N14" s="852"/>
      <c r="O14" s="855"/>
      <c r="P14" s="101"/>
    </row>
    <row r="15" spans="1:16" ht="21.75" customHeight="1">
      <c r="B15" s="853"/>
      <c r="C15" s="844" t="s">
        <v>450</v>
      </c>
      <c r="D15" s="851"/>
      <c r="E15" s="844">
        <f>SUM(E13:E14)</f>
        <v>24520.389599999995</v>
      </c>
      <c r="G15" s="855"/>
      <c r="H15" s="101"/>
      <c r="J15" s="853"/>
      <c r="K15" s="844" t="s">
        <v>440</v>
      </c>
      <c r="L15" s="851"/>
      <c r="M15" s="844">
        <f>SUM(M12:M13)</f>
        <v>6142.4439999999959</v>
      </c>
      <c r="N15" s="852"/>
      <c r="O15" s="855"/>
      <c r="P15" s="855"/>
    </row>
    <row r="16" spans="1:16" ht="21.75" customHeight="1">
      <c r="B16" s="853"/>
      <c r="C16" s="844" t="s">
        <v>576</v>
      </c>
      <c r="D16" s="851"/>
      <c r="E16" s="844">
        <f>-(Resumo!P19+Resumo!P29+Resumo!P31+Resumo!P33+Resumo!P35+Resumo!P37+Resumo!P39+Resumo!P41+Resumo!P43)</f>
        <v>-8883.1200000000008</v>
      </c>
      <c r="G16" s="855"/>
      <c r="H16" s="855"/>
      <c r="J16" s="853"/>
      <c r="K16" s="844" t="s">
        <v>441</v>
      </c>
      <c r="L16" s="851"/>
      <c r="M16" s="844">
        <f>E18</f>
        <v>-1476.4025999999999</v>
      </c>
      <c r="N16" s="852"/>
      <c r="O16" s="855"/>
      <c r="P16" s="101"/>
    </row>
    <row r="17" spans="1:17" ht="21.75" customHeight="1">
      <c r="B17" s="853"/>
      <c r="C17" s="844" t="s">
        <v>444</v>
      </c>
      <c r="D17" s="851"/>
      <c r="E17" s="844">
        <f>-(Consolidado_A!L78+E11)</f>
        <v>754.2519999999995</v>
      </c>
      <c r="G17" s="855"/>
      <c r="H17" s="101"/>
      <c r="J17" s="853"/>
      <c r="K17" s="844" t="s">
        <v>443</v>
      </c>
      <c r="L17" s="851"/>
      <c r="M17" s="844">
        <f>SUM(M14:M16)</f>
        <v>4666.0413999999964</v>
      </c>
      <c r="N17" s="852"/>
      <c r="O17" s="855"/>
      <c r="P17" s="855"/>
    </row>
    <row r="18" spans="1:17" ht="21.75" customHeight="1">
      <c r="B18" s="853"/>
      <c r="C18" s="844" t="s">
        <v>441</v>
      </c>
      <c r="D18" s="851"/>
      <c r="E18" s="844">
        <f>-(Consolidado_A!L120*G18)</f>
        <v>-1476.4025999999999</v>
      </c>
      <c r="G18" s="855">
        <v>0.06</v>
      </c>
      <c r="H18" s="101"/>
      <c r="J18" s="853"/>
      <c r="K18" s="844" t="s">
        <v>445</v>
      </c>
      <c r="L18" s="851"/>
      <c r="M18" s="844">
        <f>-M17*O18</f>
        <v>-699.90620999999942</v>
      </c>
      <c r="N18" s="852"/>
      <c r="O18" s="855">
        <f>(IF(O11&gt;0,0,IF(O9=3%,(32%*15%),IF(O9&lt;&gt;3%,15%,0))))</f>
        <v>0.15</v>
      </c>
      <c r="P18" s="101"/>
    </row>
    <row r="19" spans="1:17" ht="21.75" customHeight="1">
      <c r="B19" s="853"/>
      <c r="C19" s="844" t="s">
        <v>577</v>
      </c>
      <c r="D19" s="851"/>
      <c r="E19" s="844">
        <f>-SUM(Resumo!P45+Resumo!P47+Resumo!P49+Resumo!P51+Resumo!P53+Resumo!P55+Resumo!P57)</f>
        <v>-10314.86</v>
      </c>
      <c r="G19" s="855"/>
      <c r="H19" s="101"/>
      <c r="J19" s="853"/>
      <c r="K19" s="844" t="s">
        <v>446</v>
      </c>
      <c r="L19" s="851"/>
      <c r="M19" s="844">
        <f>-(IF(M17&gt;20000,IF(O18=15%,(M17-20000)*O19,IF(O18&lt;&gt;15%,(M17*32%)*10%,0))))</f>
        <v>0</v>
      </c>
      <c r="N19" s="852"/>
      <c r="O19" s="855">
        <f>(IF(O11&gt;0,0,IF(O9=3%,(32%*10%),IF(O9&lt;&gt;3%,10%,0))))</f>
        <v>0.1</v>
      </c>
      <c r="P19" s="101"/>
      <c r="Q19" s="858"/>
    </row>
    <row r="20" spans="1:17" ht="21.75" customHeight="1">
      <c r="B20" s="853"/>
      <c r="C20" s="844" t="s">
        <v>448</v>
      </c>
      <c r="D20" s="851"/>
      <c r="E20" s="844">
        <f>SUM(E15:E19)</f>
        <v>4600.2589999999927</v>
      </c>
      <c r="G20" s="855">
        <f>IF(E20&gt;0,E20/E5,0)</f>
        <v>0.13986291166026149</v>
      </c>
      <c r="H20" s="101"/>
      <c r="J20" s="853"/>
      <c r="K20" s="844" t="s">
        <v>447</v>
      </c>
      <c r="L20" s="851"/>
      <c r="M20" s="844">
        <f>-M17*O20</f>
        <v>-419.94372599999969</v>
      </c>
      <c r="N20" s="852"/>
      <c r="O20" s="855">
        <f>(IF(O11&gt;0,0,IF(O9=3%,(32%*9%),IF(O9&lt;&gt;3%,9%,0))))</f>
        <v>0.09</v>
      </c>
      <c r="P20" s="101"/>
      <c r="Q20" s="859"/>
    </row>
    <row r="21" spans="1:17">
      <c r="B21" s="853"/>
      <c r="C21" s="853"/>
      <c r="D21" s="853"/>
      <c r="E21" s="101"/>
      <c r="F21" s="101"/>
      <c r="G21" s="101"/>
      <c r="H21" s="101"/>
      <c r="J21" s="853"/>
      <c r="K21" s="844" t="s">
        <v>449</v>
      </c>
      <c r="L21" s="851"/>
      <c r="M21" s="844">
        <f>SUM(M17:M20)</f>
        <v>3546.1914639999977</v>
      </c>
      <c r="N21" s="852"/>
      <c r="O21" s="855">
        <f>IF(M21&gt;0,M21/M5,0)</f>
        <v>0.10781581286179884</v>
      </c>
      <c r="P21" s="101"/>
    </row>
    <row r="22" spans="1:17">
      <c r="J22" s="853"/>
      <c r="K22" s="853"/>
      <c r="L22" s="853"/>
      <c r="M22" s="101"/>
      <c r="N22" s="101"/>
      <c r="O22" s="101"/>
      <c r="P22" s="860"/>
    </row>
    <row r="26" spans="1:17">
      <c r="A26" s="853"/>
      <c r="B26" s="853"/>
      <c r="C26" s="1303" t="s">
        <v>502</v>
      </c>
      <c r="D26" s="1303"/>
      <c r="E26" s="1303"/>
      <c r="F26" s="1303"/>
      <c r="G26" s="1303"/>
      <c r="H26" s="1303"/>
      <c r="I26" s="1303"/>
      <c r="J26" s="1303"/>
      <c r="K26" s="1303"/>
      <c r="L26" s="1303"/>
      <c r="M26" s="1303"/>
      <c r="N26" s="1303"/>
      <c r="O26" s="1303"/>
    </row>
    <row r="27" spans="1:17">
      <c r="A27" s="853"/>
      <c r="B27" s="853"/>
      <c r="C27" s="853"/>
      <c r="D27" s="853"/>
      <c r="E27" s="101"/>
      <c r="F27" s="101"/>
      <c r="G27" s="101"/>
      <c r="H27" s="101"/>
      <c r="I27" s="853"/>
      <c r="J27" s="853"/>
      <c r="K27" s="853"/>
      <c r="L27" s="853"/>
      <c r="M27" s="853"/>
      <c r="N27" s="853"/>
      <c r="O27" s="853"/>
    </row>
    <row r="28" spans="1:17">
      <c r="B28" s="853"/>
      <c r="C28" s="853"/>
      <c r="D28" s="853"/>
      <c r="E28" s="853"/>
      <c r="F28" s="853"/>
      <c r="G28" s="853"/>
      <c r="H28" s="853"/>
      <c r="J28" s="853"/>
      <c r="K28" s="853"/>
      <c r="L28" s="853"/>
      <c r="M28" s="853"/>
      <c r="N28" s="853"/>
      <c r="O28" s="853"/>
      <c r="P28" s="853"/>
    </row>
    <row r="29" spans="1:17" ht="30" customHeight="1">
      <c r="B29" s="853"/>
      <c r="C29" s="1302" t="s">
        <v>504</v>
      </c>
      <c r="D29" s="1302"/>
      <c r="E29" s="1302"/>
      <c r="F29" s="1302"/>
      <c r="G29" s="1302"/>
      <c r="H29" s="844"/>
      <c r="J29" s="853"/>
      <c r="K29" s="1302" t="s">
        <v>505</v>
      </c>
      <c r="L29" s="1302"/>
      <c r="M29" s="1302"/>
      <c r="N29" s="1302"/>
      <c r="O29" s="1302"/>
      <c r="P29" s="844"/>
    </row>
    <row r="30" spans="1:17" ht="21.75" customHeight="1">
      <c r="B30" s="853"/>
      <c r="C30" s="844" t="s">
        <v>424</v>
      </c>
      <c r="D30" s="849"/>
      <c r="E30" s="844">
        <f>E5*12</f>
        <v>394694.39999999997</v>
      </c>
      <c r="F30" s="850"/>
      <c r="G30" s="855" t="s">
        <v>121</v>
      </c>
      <c r="H30" s="101"/>
      <c r="J30" s="853"/>
      <c r="K30" s="844" t="s">
        <v>424</v>
      </c>
      <c r="L30" s="849"/>
      <c r="M30" s="844">
        <f>E30</f>
        <v>394694.39999999997</v>
      </c>
      <c r="N30" s="850"/>
      <c r="O30" s="855" t="s">
        <v>121</v>
      </c>
      <c r="P30" s="101"/>
    </row>
    <row r="31" spans="1:17" ht="21.75" customHeight="1">
      <c r="B31" s="853"/>
      <c r="C31" s="844" t="s">
        <v>425</v>
      </c>
      <c r="D31" s="851"/>
      <c r="E31" s="844">
        <f t="shared" ref="E31:E36" si="1">-$E$30*G31</f>
        <v>-18945.331200000001</v>
      </c>
      <c r="G31" s="855">
        <f t="shared" ref="G31:G36" si="2">G6</f>
        <v>4.8000000000000001E-2</v>
      </c>
      <c r="H31" s="101"/>
      <c r="J31" s="853"/>
      <c r="K31" s="844" t="s">
        <v>426</v>
      </c>
      <c r="L31" s="851"/>
      <c r="M31" s="844"/>
      <c r="N31" s="852"/>
      <c r="O31" s="855"/>
      <c r="P31" s="101"/>
    </row>
    <row r="32" spans="1:17" ht="21.75" customHeight="1">
      <c r="B32" s="853"/>
      <c r="C32" s="844" t="s">
        <v>427</v>
      </c>
      <c r="D32" s="851"/>
      <c r="E32" s="844">
        <f t="shared" si="1"/>
        <v>-19734.72</v>
      </c>
      <c r="F32" s="850"/>
      <c r="G32" s="855">
        <f t="shared" si="2"/>
        <v>0.05</v>
      </c>
      <c r="H32" s="101"/>
      <c r="J32" s="853"/>
      <c r="K32" s="844" t="s">
        <v>428</v>
      </c>
      <c r="L32" s="851"/>
      <c r="M32" s="844"/>
      <c r="N32" s="850"/>
      <c r="O32" s="855"/>
      <c r="P32" s="101"/>
    </row>
    <row r="33" spans="2:16" ht="21.75" customHeight="1">
      <c r="B33" s="853"/>
      <c r="C33" s="844" t="s">
        <v>429</v>
      </c>
      <c r="D33" s="851"/>
      <c r="E33" s="844">
        <f t="shared" si="1"/>
        <v>-11840.831999999999</v>
      </c>
      <c r="G33" s="855">
        <f t="shared" si="2"/>
        <v>0.03</v>
      </c>
      <c r="H33" s="855"/>
      <c r="J33" s="853"/>
      <c r="K33" s="844" t="s">
        <v>430</v>
      </c>
      <c r="L33" s="851"/>
      <c r="M33" s="844">
        <f>-M30*O33</f>
        <v>-6512.4575999999997</v>
      </c>
      <c r="N33" s="852"/>
      <c r="O33" s="855">
        <f>O8</f>
        <v>1.6500000000000001E-2</v>
      </c>
      <c r="P33" s="855"/>
    </row>
    <row r="34" spans="2:16" ht="21.75" customHeight="1">
      <c r="B34" s="853"/>
      <c r="C34" s="844" t="s">
        <v>431</v>
      </c>
      <c r="D34" s="851"/>
      <c r="E34" s="844">
        <f t="shared" si="1"/>
        <v>-2565.5136000000002</v>
      </c>
      <c r="F34" s="850"/>
      <c r="G34" s="855">
        <f t="shared" si="2"/>
        <v>6.5000000000000006E-3</v>
      </c>
      <c r="H34" s="857"/>
      <c r="J34" s="853"/>
      <c r="K34" s="844" t="s">
        <v>432</v>
      </c>
      <c r="L34" s="851"/>
      <c r="M34" s="844">
        <f>-M30*O34</f>
        <v>-29996.774399999995</v>
      </c>
      <c r="N34" s="850"/>
      <c r="O34" s="855">
        <f>O9</f>
        <v>7.5999999999999998E-2</v>
      </c>
      <c r="P34" s="857"/>
    </row>
    <row r="35" spans="2:16" ht="21.75" customHeight="1">
      <c r="B35" s="853"/>
      <c r="C35" s="844" t="s">
        <v>433</v>
      </c>
      <c r="D35" s="851"/>
      <c r="E35" s="844">
        <f t="shared" si="1"/>
        <v>-3946.944</v>
      </c>
      <c r="G35" s="855">
        <f t="shared" si="2"/>
        <v>0.01</v>
      </c>
      <c r="H35" s="855"/>
      <c r="J35" s="853"/>
      <c r="K35" s="844" t="s">
        <v>434</v>
      </c>
      <c r="L35" s="851"/>
      <c r="M35" s="844">
        <f>-M30*O35</f>
        <v>-19734.72</v>
      </c>
      <c r="N35" s="852"/>
      <c r="O35" s="855">
        <f>O10</f>
        <v>0.05</v>
      </c>
      <c r="P35" s="855"/>
    </row>
    <row r="36" spans="2:16" ht="21.75" customHeight="1">
      <c r="B36" s="853"/>
      <c r="C36" s="844" t="s">
        <v>435</v>
      </c>
      <c r="D36" s="851"/>
      <c r="E36" s="844">
        <f t="shared" si="1"/>
        <v>-43416.383999999998</v>
      </c>
      <c r="G36" s="855">
        <f t="shared" si="2"/>
        <v>0.11</v>
      </c>
      <c r="H36" s="855"/>
      <c r="J36" s="853"/>
      <c r="K36" s="844" t="s">
        <v>575</v>
      </c>
      <c r="L36" s="851"/>
      <c r="M36" s="844">
        <f>-M30*O36</f>
        <v>0</v>
      </c>
      <c r="N36" s="852"/>
      <c r="O36" s="855">
        <f>O11</f>
        <v>0</v>
      </c>
      <c r="P36" s="855"/>
    </row>
    <row r="37" spans="2:16" ht="21.75" customHeight="1">
      <c r="B37" s="853"/>
      <c r="C37" s="844" t="s">
        <v>437</v>
      </c>
      <c r="D37" s="851"/>
      <c r="E37" s="844">
        <f>SUM(E31:E36)</f>
        <v>-100449.7248</v>
      </c>
      <c r="G37" s="855"/>
      <c r="H37" s="855"/>
      <c r="J37" s="853"/>
      <c r="K37" s="844" t="s">
        <v>436</v>
      </c>
      <c r="L37" s="851"/>
      <c r="M37" s="844">
        <f>SUM(M30:M36)</f>
        <v>338450.44799999997</v>
      </c>
      <c r="N37" s="852"/>
      <c r="O37" s="855"/>
      <c r="P37" s="855"/>
    </row>
    <row r="38" spans="2:16" ht="21.75" customHeight="1">
      <c r="B38" s="853"/>
      <c r="C38" s="844" t="s">
        <v>439</v>
      </c>
      <c r="D38" s="851"/>
      <c r="E38" s="844">
        <f>SUM(E30+E37)</f>
        <v>294244.67519999994</v>
      </c>
      <c r="G38" s="855"/>
      <c r="H38" s="101"/>
      <c r="J38" s="853"/>
      <c r="K38" s="844" t="s">
        <v>438</v>
      </c>
      <c r="L38" s="851"/>
      <c r="M38" s="844">
        <f>SUM(E36,E41,E42,E44,E45)</f>
        <v>-282899.19</v>
      </c>
      <c r="N38" s="852"/>
      <c r="O38" s="855"/>
      <c r="P38" s="855"/>
    </row>
    <row r="39" spans="2:16" ht="21.75" hidden="1" customHeight="1">
      <c r="B39" s="853"/>
      <c r="C39" s="844"/>
      <c r="D39" s="851"/>
      <c r="E39" s="844"/>
      <c r="G39" s="855"/>
      <c r="H39" s="855"/>
      <c r="J39" s="853"/>
      <c r="K39" s="844"/>
      <c r="L39" s="851"/>
      <c r="M39" s="844"/>
      <c r="N39" s="852"/>
      <c r="O39" s="855"/>
      <c r="P39" s="101"/>
    </row>
    <row r="40" spans="2:16" ht="21.75" customHeight="1">
      <c r="B40" s="853"/>
      <c r="C40" s="844" t="s">
        <v>450</v>
      </c>
      <c r="D40" s="851"/>
      <c r="E40" s="844">
        <f>SUM(E38:E39)</f>
        <v>294244.67519999994</v>
      </c>
      <c r="G40" s="855"/>
      <c r="H40" s="101"/>
      <c r="J40" s="853"/>
      <c r="K40" s="844" t="s">
        <v>440</v>
      </c>
      <c r="L40" s="851"/>
      <c r="M40" s="844">
        <f>SUM(M37:M38)</f>
        <v>55551.257999999973</v>
      </c>
      <c r="N40" s="852"/>
      <c r="O40" s="855"/>
      <c r="P40" s="855"/>
    </row>
    <row r="41" spans="2:16" ht="21.75" customHeight="1">
      <c r="B41" s="853"/>
      <c r="C41" s="844" t="s">
        <v>442</v>
      </c>
      <c r="D41" s="851"/>
      <c r="E41" s="844">
        <f>E16*12</f>
        <v>-106597.44</v>
      </c>
      <c r="G41" s="855"/>
      <c r="H41" s="855"/>
      <c r="J41" s="853"/>
      <c r="K41" s="844" t="s">
        <v>441</v>
      </c>
      <c r="L41" s="851"/>
      <c r="M41" s="844">
        <f>E43</f>
        <v>-17716.831200000001</v>
      </c>
      <c r="N41" s="852"/>
      <c r="O41" s="855"/>
      <c r="P41" s="101"/>
    </row>
    <row r="42" spans="2:16" ht="21.75" customHeight="1">
      <c r="B42" s="853"/>
      <c r="C42" s="844" t="s">
        <v>444</v>
      </c>
      <c r="D42" s="851"/>
      <c r="E42" s="844">
        <f>E17*12</f>
        <v>9051.023999999994</v>
      </c>
      <c r="G42" s="855"/>
      <c r="H42" s="101"/>
      <c r="J42" s="853"/>
      <c r="K42" s="844" t="s">
        <v>443</v>
      </c>
      <c r="L42" s="851"/>
      <c r="M42" s="844">
        <f>SUM(M39:M41)</f>
        <v>37834.426799999972</v>
      </c>
      <c r="N42" s="852"/>
      <c r="O42" s="855"/>
      <c r="P42" s="855"/>
    </row>
    <row r="43" spans="2:16" ht="21.75" customHeight="1">
      <c r="B43" s="853"/>
      <c r="C43" s="844" t="s">
        <v>441</v>
      </c>
      <c r="D43" s="851"/>
      <c r="E43" s="844">
        <f>E18*12</f>
        <v>-17716.831200000001</v>
      </c>
      <c r="G43" s="855">
        <v>0.06</v>
      </c>
      <c r="H43" s="101"/>
      <c r="J43" s="853"/>
      <c r="K43" s="844" t="s">
        <v>445</v>
      </c>
      <c r="L43" s="851"/>
      <c r="M43" s="844">
        <f>-M42*O43</f>
        <v>-5675.1640199999956</v>
      </c>
      <c r="N43" s="852"/>
      <c r="O43" s="855">
        <f>O18</f>
        <v>0.15</v>
      </c>
      <c r="P43" s="101"/>
    </row>
    <row r="44" spans="2:16" ht="21.75" customHeight="1">
      <c r="B44" s="853"/>
      <c r="C44" s="844" t="s">
        <v>503</v>
      </c>
      <c r="D44" s="851"/>
      <c r="E44" s="844">
        <f>-((Consolidado_A!L65*12)*((2/12)+((1/3)/12)))</f>
        <v>-18158.069999999996</v>
      </c>
      <c r="G44" s="855"/>
      <c r="H44" s="101"/>
      <c r="J44" s="853"/>
      <c r="K44" s="844" t="s">
        <v>446</v>
      </c>
      <c r="L44" s="851"/>
      <c r="M44" s="844">
        <f>-IF(M42&gt;240000, (M42-240000)*O44,0)</f>
        <v>0</v>
      </c>
      <c r="N44" s="852"/>
      <c r="O44" s="855">
        <f>O19</f>
        <v>0.1</v>
      </c>
      <c r="P44" s="101"/>
    </row>
    <row r="45" spans="2:16" ht="21.75" customHeight="1">
      <c r="B45" s="853"/>
      <c r="C45" s="844" t="s">
        <v>577</v>
      </c>
      <c r="D45" s="851"/>
      <c r="E45" s="844">
        <f>E19*12</f>
        <v>-123778.32</v>
      </c>
      <c r="G45" s="855"/>
      <c r="H45" s="101"/>
      <c r="J45" s="853"/>
      <c r="K45" s="844" t="s">
        <v>447</v>
      </c>
      <c r="L45" s="851"/>
      <c r="M45" s="844">
        <f>-M42*O45</f>
        <v>-3405.0984119999976</v>
      </c>
      <c r="N45" s="852"/>
      <c r="O45" s="855">
        <f>O20</f>
        <v>0.09</v>
      </c>
      <c r="P45" s="101"/>
    </row>
    <row r="46" spans="2:16" ht="15.75" customHeight="1">
      <c r="B46" s="853"/>
      <c r="C46" s="844" t="s">
        <v>448</v>
      </c>
      <c r="D46" s="851"/>
      <c r="E46" s="844">
        <f>SUM(E40:E45)</f>
        <v>37045.037999999942</v>
      </c>
      <c r="G46" s="855">
        <f>IF(E46&gt;0,E46/E30,0)</f>
        <v>9.3857521160675056E-2</v>
      </c>
      <c r="H46" s="101"/>
      <c r="J46" s="853"/>
      <c r="K46" s="844" t="s">
        <v>449</v>
      </c>
      <c r="L46" s="851"/>
      <c r="M46" s="844">
        <f>SUM(M42:M45)</f>
        <v>28754.164367999976</v>
      </c>
      <c r="N46" s="852"/>
      <c r="O46" s="855">
        <f>IF(M46&gt;0,M46/M30,0)</f>
        <v>7.2851716082113091E-2</v>
      </c>
      <c r="P46" s="101"/>
    </row>
    <row r="47" spans="2:16">
      <c r="B47" s="853"/>
      <c r="C47" s="853"/>
      <c r="D47" s="853"/>
      <c r="E47" s="101"/>
      <c r="F47" s="101"/>
      <c r="G47" s="101"/>
      <c r="H47" s="101"/>
      <c r="J47" s="853"/>
      <c r="K47" s="853"/>
      <c r="L47" s="853"/>
      <c r="M47" s="101"/>
      <c r="N47" s="101"/>
      <c r="O47" s="101"/>
      <c r="P47" s="860"/>
    </row>
  </sheetData>
  <sheetProtection password="D998" sheet="1" objects="1" scenarios="1"/>
  <mergeCells count="6">
    <mergeCell ref="C29:G29"/>
    <mergeCell ref="K29:O29"/>
    <mergeCell ref="C1:O1"/>
    <mergeCell ref="C4:G4"/>
    <mergeCell ref="K4:O4"/>
    <mergeCell ref="C26:O26"/>
  </mergeCells>
  <phoneticPr fontId="3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indexed="32"/>
    <pageSetUpPr autoPageBreaks="0" fitToPage="1"/>
  </sheetPr>
  <dimension ref="A1:CN92"/>
  <sheetViews>
    <sheetView showGridLines="0" zoomScaleNormal="94" workbookViewId="0">
      <pane xSplit="2" ySplit="9" topLeftCell="C10" activePane="bottomRight" state="frozenSplit"/>
      <selection activeCell="C6" sqref="C6:Q6"/>
      <selection pane="topRight" activeCell="C6" sqref="C6:Q6"/>
      <selection pane="bottomLeft" activeCell="C6" sqref="C6:Q6"/>
      <selection pane="bottomRight"/>
    </sheetView>
  </sheetViews>
  <sheetFormatPr defaultRowHeight="12.75" customHeight="1"/>
  <cols>
    <col min="1" max="1" width="2.7109375" style="870" bestFit="1" customWidth="1"/>
    <col min="2" max="2" width="30.7109375" style="3" customWidth="1"/>
    <col min="3" max="3" width="1.7109375" style="873" customWidth="1"/>
    <col min="4" max="4" width="6.7109375" style="2" customWidth="1"/>
    <col min="5" max="5" width="1.7109375" style="3" customWidth="1"/>
    <col min="6" max="6" width="6.7109375" style="3" customWidth="1"/>
    <col min="7" max="7" width="1.7109375" style="3" customWidth="1"/>
    <col min="8" max="8" width="5.7109375" style="3" customWidth="1"/>
    <col min="9" max="9" width="2.7109375" style="3" customWidth="1"/>
    <col min="10" max="10" width="5.7109375" style="3" customWidth="1"/>
    <col min="11" max="11" width="1.7109375" style="3" customWidth="1"/>
    <col min="12" max="12" width="6.7109375" style="3" customWidth="1"/>
    <col min="13" max="13" width="1.7109375" style="3" customWidth="1"/>
    <col min="14" max="14" width="6.7109375" style="3" customWidth="1"/>
    <col min="15" max="15" width="1.7109375" style="3" customWidth="1"/>
    <col min="16" max="16" width="6.7109375" style="3" customWidth="1"/>
    <col min="17" max="17" width="1.7109375" style="3" customWidth="1"/>
    <col min="18" max="18" width="11.7109375" style="4" customWidth="1"/>
    <col min="19" max="19" width="1.7109375" style="4" customWidth="1"/>
    <col min="20" max="20" width="7.7109375" style="5" customWidth="1"/>
    <col min="21" max="21" width="1.7109375" style="4" customWidth="1"/>
    <col min="22" max="22" width="6.7109375" style="4" customWidth="1"/>
    <col min="23" max="23" width="1.7109375" style="4" customWidth="1"/>
    <col min="24" max="24" width="3.7109375" style="3" customWidth="1"/>
    <col min="25" max="25" width="1.7109375" style="4" customWidth="1"/>
    <col min="26" max="26" width="10.7109375" style="6" customWidth="1"/>
    <col min="27" max="27" width="1.7109375" style="4" customWidth="1"/>
    <col min="28" max="28" width="10.7109375" style="4" customWidth="1"/>
    <col min="29" max="29" width="1.7109375" style="4" customWidth="1"/>
    <col min="30" max="30" width="10.7109375" style="7" customWidth="1"/>
    <col min="31" max="31" width="1.7109375" style="4" customWidth="1"/>
    <col min="32" max="32" width="10.7109375" style="4" customWidth="1"/>
    <col min="33" max="33" width="1.7109375" style="4" customWidth="1"/>
    <col min="34" max="34" width="3.7109375" style="8" customWidth="1"/>
    <col min="35" max="35" width="1.7109375" style="4" customWidth="1"/>
    <col min="36" max="36" width="10.140625" style="4" customWidth="1"/>
    <col min="37" max="37" width="1.5703125" style="4" customWidth="1"/>
    <col min="38" max="38" width="10.42578125" style="4" customWidth="1"/>
    <col min="39" max="39" width="1.7109375" style="4" customWidth="1"/>
    <col min="40" max="40" width="4.140625" style="8" customWidth="1"/>
    <col min="41" max="41" width="3.42578125" style="4" customWidth="1"/>
    <col min="42" max="42" width="4.140625" style="8" customWidth="1"/>
    <col min="43" max="43" width="1.7109375" style="4" customWidth="1"/>
    <col min="44" max="44" width="11.7109375" style="4" customWidth="1"/>
    <col min="45" max="45" width="1.7109375" style="4" customWidth="1"/>
    <col min="46" max="46" width="10.7109375" style="4" customWidth="1"/>
    <col min="47" max="47" width="1.7109375" style="4" customWidth="1"/>
    <col min="48" max="48" width="6.7109375" style="8" customWidth="1"/>
    <col min="49" max="49" width="1.7109375" style="4" customWidth="1"/>
    <col min="50" max="50" width="10.7109375" style="4" customWidth="1"/>
    <col min="51" max="51" width="1.7109375" style="4" customWidth="1"/>
    <col min="52" max="52" width="13.28515625" style="4" customWidth="1"/>
    <col min="53" max="53" width="1.140625" style="901" customWidth="1"/>
    <col min="54" max="54" width="9.5703125" style="931" hidden="1" customWidth="1"/>
    <col min="55" max="55" width="1.7109375" style="931" hidden="1" customWidth="1"/>
    <col min="56" max="56" width="11" style="931" hidden="1" customWidth="1"/>
    <col min="57" max="57" width="1.7109375" style="931" hidden="1" customWidth="1"/>
    <col min="58" max="58" width="13" style="931" hidden="1" customWidth="1"/>
    <col min="59" max="59" width="0.140625" style="932" hidden="1" customWidth="1"/>
    <col min="60" max="60" width="1.7109375" style="931" hidden="1" customWidth="1"/>
    <col min="61" max="61" width="5.85546875" style="931" hidden="1" customWidth="1"/>
    <col min="62" max="62" width="2.7109375" style="933" hidden="1" customWidth="1"/>
    <col min="63" max="63" width="3.7109375" style="933" hidden="1" customWidth="1"/>
    <col min="64" max="64" width="7.5703125" style="934" hidden="1" customWidth="1"/>
    <col min="65" max="65" width="3.7109375" style="933" hidden="1" customWidth="1"/>
    <col min="66" max="66" width="9.7109375" style="934" hidden="1" customWidth="1"/>
    <col min="67" max="67" width="3.7109375" style="933" hidden="1" customWidth="1"/>
    <col min="68" max="68" width="7.5703125" style="934" hidden="1" customWidth="1"/>
    <col min="69" max="69" width="3.7109375" style="933" hidden="1" customWidth="1"/>
    <col min="70" max="70" width="7.85546875" style="934" hidden="1" customWidth="1"/>
    <col min="71" max="71" width="4.140625" style="933" hidden="1" customWidth="1"/>
    <col min="72" max="72" width="7.42578125" style="934" hidden="1" customWidth="1"/>
    <col min="73" max="73" width="9.140625" style="933" hidden="1" customWidth="1"/>
    <col min="74" max="74" width="12.5703125" style="933" hidden="1" customWidth="1"/>
    <col min="75" max="75" width="7.5703125" style="933" hidden="1" customWidth="1"/>
    <col min="76" max="76" width="9.140625" style="933" hidden="1" customWidth="1"/>
    <col min="77" max="77" width="12.5703125" style="935" hidden="1" customWidth="1"/>
    <col min="78" max="78" width="9.140625" style="935" hidden="1" customWidth="1"/>
    <col min="79" max="79" width="9.140625" style="931" hidden="1" customWidth="1"/>
    <col min="80" max="80" width="12" style="931" hidden="1" customWidth="1"/>
    <col min="81" max="81" width="9.28515625" style="931" hidden="1" customWidth="1"/>
    <col min="82" max="82" width="9.140625" style="931" hidden="1" customWidth="1"/>
    <col min="83" max="84" width="9.140625" style="901"/>
    <col min="85" max="92" width="9.140625" style="726"/>
    <col min="93" max="16384" width="9.140625" style="4"/>
  </cols>
  <sheetData>
    <row r="1" spans="1:92" ht="9" customHeight="1">
      <c r="B1" s="1"/>
      <c r="C1" s="872"/>
      <c r="R1" s="12"/>
    </row>
    <row r="2" spans="1:92" ht="12.75" customHeight="1">
      <c r="D2" s="55"/>
      <c r="E2" s="56" t="s">
        <v>195</v>
      </c>
      <c r="F2" s="57"/>
      <c r="G2" s="57"/>
      <c r="H2" s="57"/>
      <c r="I2" s="57"/>
      <c r="J2" s="57"/>
      <c r="K2" s="56"/>
      <c r="L2" s="56"/>
      <c r="M2" s="58"/>
      <c r="N2" s="56"/>
      <c r="O2" s="58"/>
      <c r="P2" s="6"/>
      <c r="Q2" s="6"/>
      <c r="R2" s="12"/>
      <c r="S2" s="6"/>
      <c r="T2" s="10"/>
      <c r="U2" s="6"/>
      <c r="V2" s="6"/>
      <c r="W2" s="6"/>
      <c r="X2" s="6"/>
      <c r="Y2" s="6"/>
      <c r="AA2" s="6"/>
      <c r="AC2" s="6"/>
      <c r="AD2" s="6"/>
      <c r="AE2" s="6"/>
      <c r="AF2" s="6"/>
      <c r="AG2" s="6"/>
      <c r="AI2" s="6"/>
      <c r="AJ2" s="11"/>
      <c r="AK2" s="6"/>
      <c r="AL2" s="6"/>
      <c r="AM2" s="6"/>
      <c r="AO2" s="6"/>
      <c r="AQ2" s="6"/>
      <c r="AR2" s="6"/>
      <c r="AS2" s="6"/>
      <c r="AT2" s="6"/>
      <c r="AU2" s="6"/>
      <c r="AW2" s="6"/>
      <c r="AX2" s="6"/>
      <c r="AY2" s="6"/>
      <c r="AZ2" s="6"/>
    </row>
    <row r="3" spans="1:92" ht="3.75" customHeight="1">
      <c r="B3" s="12"/>
      <c r="C3" s="874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2"/>
      <c r="Q3" s="12"/>
      <c r="R3" s="12"/>
      <c r="T3" s="4"/>
      <c r="U3" s="12"/>
      <c r="V3" s="12"/>
      <c r="W3" s="12"/>
      <c r="X3" s="12"/>
      <c r="Y3" s="12"/>
      <c r="Z3" s="12"/>
      <c r="AA3" s="12"/>
      <c r="AB3" s="12"/>
      <c r="AC3" s="12"/>
      <c r="AK3" s="12"/>
      <c r="AL3" s="12"/>
      <c r="AR3" s="12"/>
      <c r="AS3" s="12"/>
      <c r="AT3" s="12"/>
      <c r="AU3" s="12"/>
      <c r="AX3" s="12"/>
      <c r="AY3" s="12"/>
      <c r="AZ3" s="12"/>
    </row>
    <row r="4" spans="1:92" ht="18" customHeight="1" thickBot="1">
      <c r="D4" s="61"/>
      <c r="E4" s="57"/>
      <c r="F4" s="62"/>
      <c r="G4" s="62"/>
      <c r="H4" s="63" t="s">
        <v>232</v>
      </c>
      <c r="I4" s="1022">
        <v>0.3</v>
      </c>
      <c r="J4" s="1023"/>
      <c r="K4" s="4"/>
      <c r="L4" s="57"/>
      <c r="M4" s="64" t="s">
        <v>231</v>
      </c>
      <c r="N4" s="1028"/>
      <c r="O4" s="1029"/>
      <c r="T4" s="4"/>
      <c r="X4" s="4"/>
      <c r="Z4" s="4"/>
      <c r="AC4" s="9"/>
      <c r="AD4" s="9"/>
      <c r="AE4" s="13"/>
      <c r="AJ4" s="5"/>
      <c r="AK4" s="89"/>
      <c r="AL4" s="90"/>
      <c r="AQ4" s="92" t="s">
        <v>580</v>
      </c>
      <c r="AR4" s="832"/>
      <c r="AS4" s="94" t="s">
        <v>410</v>
      </c>
      <c r="AT4" s="832"/>
      <c r="AU4" s="93" t="s">
        <v>411</v>
      </c>
      <c r="AV4" s="4"/>
      <c r="AZ4" s="6"/>
      <c r="BA4" s="903"/>
      <c r="BF4" s="936"/>
      <c r="BO4" s="937">
        <f>30-I6</f>
        <v>25</v>
      </c>
      <c r="BP4" s="938"/>
    </row>
    <row r="5" spans="1:92" ht="3.75" customHeight="1">
      <c r="D5" s="61"/>
      <c r="E5" s="65"/>
      <c r="F5" s="65"/>
      <c r="G5" s="65"/>
      <c r="H5" s="65"/>
      <c r="I5" s="66"/>
      <c r="J5" s="66"/>
      <c r="K5" s="4"/>
      <c r="L5" s="57"/>
      <c r="M5" s="65"/>
      <c r="N5" s="57"/>
      <c r="O5" s="65"/>
      <c r="P5" s="13"/>
      <c r="Q5" s="13"/>
      <c r="R5" s="16"/>
      <c r="T5" s="4"/>
      <c r="AE5" s="13"/>
      <c r="AM5" s="13"/>
    </row>
    <row r="6" spans="1:92" ht="18" customHeight="1" thickBot="1">
      <c r="B6" s="17"/>
      <c r="C6" s="875"/>
      <c r="D6" s="67"/>
      <c r="E6" s="68"/>
      <c r="F6" s="57"/>
      <c r="G6" s="57"/>
      <c r="H6" s="64" t="s">
        <v>230</v>
      </c>
      <c r="I6" s="1026">
        <v>5</v>
      </c>
      <c r="J6" s="1027"/>
      <c r="K6" s="4"/>
      <c r="L6" s="68"/>
      <c r="M6" s="68"/>
      <c r="N6" s="68"/>
      <c r="O6" s="68"/>
      <c r="U6" s="19"/>
      <c r="AK6" s="9"/>
      <c r="AL6" s="9"/>
      <c r="AR6" s="9"/>
      <c r="AS6" s="9"/>
      <c r="AT6" s="9"/>
      <c r="AU6" s="9"/>
      <c r="AX6" s="9"/>
      <c r="AY6" s="9"/>
      <c r="AZ6" s="9"/>
    </row>
    <row r="7" spans="1:92" ht="3.75" customHeight="1">
      <c r="B7" s="17"/>
      <c r="C7" s="875"/>
      <c r="D7" s="18"/>
      <c r="E7" s="17"/>
      <c r="F7" s="15"/>
      <c r="G7" s="15"/>
      <c r="H7" s="4"/>
      <c r="I7" s="17"/>
      <c r="J7" s="20"/>
      <c r="K7" s="4"/>
      <c r="L7" s="17"/>
      <c r="M7" s="17"/>
      <c r="N7" s="17"/>
      <c r="O7" s="17"/>
      <c r="P7" s="21"/>
      <c r="Q7" s="17"/>
      <c r="S7" s="14"/>
      <c r="T7" s="4"/>
      <c r="U7" s="14"/>
      <c r="W7" s="14"/>
      <c r="Y7" s="9"/>
      <c r="AA7" s="9"/>
      <c r="AB7" s="9"/>
      <c r="AC7" s="9"/>
      <c r="AK7" s="9"/>
      <c r="AL7" s="9"/>
      <c r="AR7" s="9"/>
      <c r="AS7" s="9"/>
      <c r="AT7" s="9"/>
      <c r="AU7" s="9"/>
      <c r="AX7" s="9"/>
      <c r="AY7" s="9"/>
      <c r="AZ7" s="9"/>
    </row>
    <row r="8" spans="1:92" s="48" customFormat="1" ht="97.5" customHeight="1">
      <c r="A8" s="871"/>
      <c r="B8" s="70" t="s">
        <v>37</v>
      </c>
      <c r="C8" s="876"/>
      <c r="D8" s="49" t="s">
        <v>527</v>
      </c>
      <c r="E8" s="50"/>
      <c r="F8" s="51" t="s">
        <v>413</v>
      </c>
      <c r="G8" s="50"/>
      <c r="H8" s="1013" t="s">
        <v>133</v>
      </c>
      <c r="I8" s="1014"/>
      <c r="J8" s="1015"/>
      <c r="K8" s="50"/>
      <c r="L8" s="51" t="s">
        <v>407</v>
      </c>
      <c r="M8" s="50"/>
      <c r="N8" s="51" t="s">
        <v>163</v>
      </c>
      <c r="O8" s="50"/>
      <c r="P8" s="51" t="s">
        <v>131</v>
      </c>
      <c r="Q8" s="50"/>
      <c r="R8" s="52" t="s">
        <v>43</v>
      </c>
      <c r="S8" s="53"/>
      <c r="T8" s="52" t="s">
        <v>188</v>
      </c>
      <c r="U8" s="53"/>
      <c r="V8" s="52" t="s">
        <v>166</v>
      </c>
      <c r="W8" s="53"/>
      <c r="X8" s="52" t="s">
        <v>165</v>
      </c>
      <c r="Y8" s="53"/>
      <c r="Z8" s="52" t="s">
        <v>111</v>
      </c>
      <c r="AA8" s="50"/>
      <c r="AB8" s="54"/>
      <c r="AC8" s="50"/>
      <c r="AD8" s="51" t="s">
        <v>109</v>
      </c>
      <c r="AE8" s="50"/>
      <c r="AF8" s="51" t="s">
        <v>110</v>
      </c>
      <c r="AG8" s="50"/>
      <c r="AH8" s="51" t="s">
        <v>132</v>
      </c>
      <c r="AI8" s="50"/>
      <c r="AJ8" s="51" t="s">
        <v>114</v>
      </c>
      <c r="AK8" s="50"/>
      <c r="AL8" s="54"/>
      <c r="AM8" s="50"/>
      <c r="AN8" s="1013" t="s">
        <v>454</v>
      </c>
      <c r="AO8" s="1014"/>
      <c r="AP8" s="1015"/>
      <c r="AQ8" s="50"/>
      <c r="AR8" s="51" t="s">
        <v>422</v>
      </c>
      <c r="AS8" s="50"/>
      <c r="AT8" s="821">
        <f>IF(PF!P54&gt;0,"Folguista Rendição - Intrajornada",0)</f>
        <v>0</v>
      </c>
      <c r="AU8" s="50"/>
      <c r="AV8" s="51" t="s">
        <v>468</v>
      </c>
      <c r="AW8" s="50"/>
      <c r="AX8" s="54"/>
      <c r="AY8" s="50"/>
      <c r="AZ8" s="51" t="s">
        <v>409</v>
      </c>
      <c r="BA8" s="904"/>
      <c r="BB8" s="939" t="s">
        <v>112</v>
      </c>
      <c r="BC8" s="940"/>
      <c r="BD8" s="939" t="s">
        <v>113</v>
      </c>
      <c r="BE8" s="940"/>
      <c r="BF8" s="939" t="s">
        <v>113</v>
      </c>
      <c r="BG8" s="941"/>
      <c r="BH8" s="942"/>
      <c r="BI8" s="942"/>
      <c r="BJ8" s="943"/>
      <c r="BK8" s="943"/>
      <c r="BL8" s="944"/>
      <c r="BM8" s="943"/>
      <c r="BN8" s="944"/>
      <c r="BO8" s="943"/>
      <c r="BP8" s="944"/>
      <c r="BQ8" s="943"/>
      <c r="BR8" s="944"/>
      <c r="BS8" s="943"/>
      <c r="BT8" s="944"/>
      <c r="BU8" s="943"/>
      <c r="BV8" s="943"/>
      <c r="BW8" s="943"/>
      <c r="BX8" s="943"/>
      <c r="BY8" s="942"/>
      <c r="BZ8" s="942"/>
      <c r="CA8" s="942"/>
      <c r="CB8" s="942"/>
      <c r="CC8" s="942"/>
      <c r="CD8" s="942"/>
      <c r="CE8" s="905"/>
      <c r="CF8" s="905"/>
      <c r="CG8" s="727"/>
      <c r="CH8" s="727"/>
      <c r="CI8" s="727"/>
      <c r="CJ8" s="727"/>
      <c r="CK8" s="727"/>
      <c r="CL8" s="727"/>
      <c r="CM8" s="727"/>
      <c r="CN8" s="727"/>
    </row>
    <row r="9" spans="1:92" s="22" customFormat="1" ht="3" customHeight="1">
      <c r="A9" s="871"/>
      <c r="B9" s="23"/>
      <c r="C9" s="876"/>
      <c r="D9" s="26"/>
      <c r="H9" s="25"/>
      <c r="J9" s="25"/>
      <c r="R9" s="24"/>
      <c r="S9" s="24"/>
      <c r="T9" s="27"/>
      <c r="U9" s="24"/>
      <c r="V9" s="24"/>
      <c r="W9" s="24"/>
      <c r="X9" s="24"/>
      <c r="Y9" s="24"/>
      <c r="Z9" s="28"/>
      <c r="AB9" s="29"/>
      <c r="AH9" s="30"/>
      <c r="AN9" s="30"/>
      <c r="AP9" s="30"/>
      <c r="AV9" s="30"/>
      <c r="AX9" s="29"/>
      <c r="BA9" s="905"/>
      <c r="BB9" s="945"/>
      <c r="BC9" s="942"/>
      <c r="BD9" s="945"/>
      <c r="BE9" s="942"/>
      <c r="BF9" s="945"/>
      <c r="BG9" s="941"/>
      <c r="BH9" s="942"/>
      <c r="BI9" s="942"/>
      <c r="BJ9" s="943"/>
      <c r="BK9" s="943"/>
      <c r="BL9" s="944"/>
      <c r="BM9" s="943"/>
      <c r="BN9" s="944"/>
      <c r="BO9" s="943"/>
      <c r="BP9" s="944"/>
      <c r="BQ9" s="943"/>
      <c r="BR9" s="944"/>
      <c r="BS9" s="943"/>
      <c r="BT9" s="944"/>
      <c r="BU9" s="943"/>
      <c r="BV9" s="943"/>
      <c r="BW9" s="943"/>
      <c r="BX9" s="943"/>
      <c r="BY9" s="942"/>
      <c r="BZ9" s="942"/>
      <c r="CA9" s="942"/>
      <c r="CB9" s="942"/>
      <c r="CC9" s="942"/>
      <c r="CD9" s="942"/>
      <c r="CE9" s="905"/>
      <c r="CF9" s="905"/>
      <c r="CG9" s="727"/>
      <c r="CH9" s="727"/>
      <c r="CI9" s="727"/>
      <c r="CJ9" s="727"/>
      <c r="CK9" s="727"/>
      <c r="CL9" s="727"/>
      <c r="CM9" s="727"/>
      <c r="CN9" s="727"/>
    </row>
    <row r="10" spans="1:92" s="33" customFormat="1" ht="11.25">
      <c r="A10" s="31"/>
      <c r="B10" s="88">
        <v>1</v>
      </c>
      <c r="C10" s="877"/>
      <c r="D10" s="88">
        <v>2</v>
      </c>
      <c r="E10" s="31"/>
      <c r="F10" s="88">
        <v>3</v>
      </c>
      <c r="G10" s="31"/>
      <c r="H10" s="88">
        <v>4</v>
      </c>
      <c r="I10" s="31"/>
      <c r="J10" s="88">
        <v>5</v>
      </c>
      <c r="K10" s="31"/>
      <c r="L10" s="88">
        <v>6</v>
      </c>
      <c r="M10" s="31"/>
      <c r="N10" s="88">
        <v>7</v>
      </c>
      <c r="O10" s="31"/>
      <c r="P10" s="88">
        <v>8</v>
      </c>
      <c r="Q10" s="31"/>
      <c r="R10" s="88">
        <v>9</v>
      </c>
      <c r="S10" s="31"/>
      <c r="T10" s="88">
        <v>10</v>
      </c>
      <c r="U10" s="31"/>
      <c r="V10" s="88">
        <v>11</v>
      </c>
      <c r="W10" s="31"/>
      <c r="X10" s="88">
        <v>12</v>
      </c>
      <c r="Y10" s="31"/>
      <c r="Z10" s="88">
        <v>13</v>
      </c>
      <c r="AA10" s="31"/>
      <c r="AB10" s="88">
        <v>14</v>
      </c>
      <c r="AC10" s="31"/>
      <c r="AD10" s="88">
        <v>15</v>
      </c>
      <c r="AE10" s="31"/>
      <c r="AF10" s="88">
        <v>16</v>
      </c>
      <c r="AG10" s="31"/>
      <c r="AH10" s="32">
        <v>17</v>
      </c>
      <c r="AI10" s="31"/>
      <c r="AJ10" s="88">
        <v>18</v>
      </c>
      <c r="AK10" s="31"/>
      <c r="AL10" s="88">
        <v>19</v>
      </c>
      <c r="AM10" s="31"/>
      <c r="AN10" s="32">
        <v>20</v>
      </c>
      <c r="AO10" s="31"/>
      <c r="AP10" s="32">
        <v>21</v>
      </c>
      <c r="AQ10" s="31"/>
      <c r="AR10" s="88">
        <v>22</v>
      </c>
      <c r="AS10" s="31"/>
      <c r="AT10" s="88">
        <v>23</v>
      </c>
      <c r="AU10" s="31"/>
      <c r="AV10" s="32">
        <v>24</v>
      </c>
      <c r="AW10" s="31"/>
      <c r="AX10" s="88">
        <v>25</v>
      </c>
      <c r="AY10" s="31"/>
      <c r="AZ10" s="88">
        <v>26</v>
      </c>
      <c r="BA10" s="906"/>
      <c r="BB10" s="946">
        <v>27</v>
      </c>
      <c r="BC10" s="947"/>
      <c r="BD10" s="946">
        <v>28</v>
      </c>
      <c r="BE10" s="947"/>
      <c r="BF10" s="946">
        <v>29</v>
      </c>
      <c r="BG10" s="948" t="s">
        <v>590</v>
      </c>
      <c r="BH10" s="947"/>
      <c r="BI10" s="947"/>
      <c r="BJ10" s="949"/>
      <c r="BK10" s="949"/>
      <c r="BL10" s="950"/>
      <c r="BM10" s="949"/>
      <c r="BN10" s="950"/>
      <c r="BO10" s="949"/>
      <c r="BP10" s="950"/>
      <c r="BQ10" s="949"/>
      <c r="BR10" s="950"/>
      <c r="BS10" s="949"/>
      <c r="BT10" s="950"/>
      <c r="BU10" s="949"/>
      <c r="BV10" s="949" t="s">
        <v>466</v>
      </c>
      <c r="BW10" s="949" t="s">
        <v>467</v>
      </c>
      <c r="BX10" s="949" t="s">
        <v>422</v>
      </c>
      <c r="BY10" s="947" t="s">
        <v>582</v>
      </c>
      <c r="BZ10" s="947" t="s">
        <v>583</v>
      </c>
      <c r="CA10" s="947"/>
      <c r="CB10" s="947" t="s">
        <v>581</v>
      </c>
      <c r="CC10" s="947"/>
      <c r="CD10" s="947" t="s">
        <v>581</v>
      </c>
      <c r="CE10" s="906"/>
      <c r="CF10" s="906"/>
      <c r="CG10" s="728"/>
      <c r="CH10" s="728"/>
      <c r="CI10" s="728"/>
      <c r="CJ10" s="728"/>
      <c r="CK10" s="728"/>
      <c r="CL10" s="728"/>
      <c r="CM10" s="728"/>
      <c r="CN10" s="728"/>
    </row>
    <row r="11" spans="1:92" s="3" customFormat="1" ht="12">
      <c r="A11" s="870">
        <v>1</v>
      </c>
      <c r="B11" s="71" t="s">
        <v>607</v>
      </c>
      <c r="C11" s="873"/>
      <c r="D11" s="71">
        <v>1</v>
      </c>
      <c r="F11" s="71">
        <v>25</v>
      </c>
      <c r="H11" s="73">
        <v>0.33333333333333331</v>
      </c>
      <c r="I11" s="34" t="str">
        <f t="shared" ref="I11:I38" si="0">IF(H11&gt;0,"às",".")</f>
        <v>às</v>
      </c>
      <c r="J11" s="74">
        <v>0.70833333333333337</v>
      </c>
      <c r="K11" s="76"/>
      <c r="L11" s="71">
        <v>220</v>
      </c>
      <c r="M11" s="57"/>
      <c r="N11" s="549">
        <f t="shared" ref="N11:N54" si="1">IF(L11&gt;0,L11,0)</f>
        <v>220</v>
      </c>
      <c r="O11" s="57"/>
      <c r="P11" s="71">
        <f>16*1/F11</f>
        <v>0.64</v>
      </c>
      <c r="Q11" s="77">
        <f t="shared" ref="Q11:Q54" si="2">S11*D11</f>
        <v>2761</v>
      </c>
      <c r="R11" s="78">
        <v>2761</v>
      </c>
      <c r="S11" s="37">
        <f t="shared" ref="S11:S54" si="3">IF(L11&gt;0,(R11/L11)*N11,0)</f>
        <v>2761</v>
      </c>
      <c r="T11" s="82">
        <v>764</v>
      </c>
      <c r="U11" s="83">
        <f t="shared" ref="U11:U54" si="4">IF(L11&gt;0,(T11/L11)*N11,0)</f>
        <v>764</v>
      </c>
      <c r="V11" s="84">
        <v>0.2</v>
      </c>
      <c r="W11" s="57"/>
      <c r="X11" s="85" t="s">
        <v>610</v>
      </c>
      <c r="Z11" s="542">
        <f t="shared" ref="Z11:Z54" si="5">IF(D11&gt;0, IF(X11="P",(S11*V11),IF(X11="i",($U11*V11),0)),0)</f>
        <v>152.80000000000001</v>
      </c>
      <c r="AA11" s="36">
        <f t="shared" ref="AA11:AA54" si="6">Z11*D11</f>
        <v>152.80000000000001</v>
      </c>
      <c r="AB11" s="550"/>
      <c r="AC11" s="551">
        <f t="shared" ref="AC11:AC54" si="7">AB11*D11</f>
        <v>0</v>
      </c>
      <c r="AD11" s="542">
        <f t="shared" ref="AD11:AD54" si="8">IF(D11&gt;0,((((S11+Z11+AB11)/L11)*$I$4)*(P11*F11)),0)</f>
        <v>63.573818181818183</v>
      </c>
      <c r="AE11" s="551">
        <f t="shared" ref="AE11:AE54" si="9">AD11*$D11</f>
        <v>63.573818181818183</v>
      </c>
      <c r="AF11" s="542">
        <f t="shared" ref="AF11:AF54" si="10">IF(D11,((((((S11+Z11+AB11)/L11)*$I$4)*(((F11*P11)/52.5)*60-(P11*F11)))+((((F11*P11)/52.5)*60-(P11*F11)))*((S11+Z11+AB11)/L11))),0)</f>
        <v>39.355220779220829</v>
      </c>
      <c r="AG11" s="36">
        <f t="shared" ref="AG11:AG54" si="11">AF11*$D11</f>
        <v>39.355220779220829</v>
      </c>
      <c r="AH11" s="86"/>
      <c r="AI11" s="36"/>
      <c r="AJ11" s="542">
        <f t="shared" ref="AJ11:AJ54" si="12">IF($AH11&gt;=1,CHOOSE($AH11,BL11,BN11,BP11,BR11,BT11),0)</f>
        <v>0</v>
      </c>
      <c r="AK11" s="36">
        <f t="shared" ref="AK11:AK54" si="13">AJ11*D11</f>
        <v>0</v>
      </c>
      <c r="AL11" s="831"/>
      <c r="AM11" s="36">
        <f t="shared" ref="AM11:AM54" si="14">AL11*$D11</f>
        <v>0</v>
      </c>
      <c r="AN11" s="86"/>
      <c r="AO11" s="34" t="str">
        <f t="shared" ref="AO11:AO54" si="15">IF(AN11&gt;0,"x",".")</f>
        <v>.</v>
      </c>
      <c r="AP11" s="86"/>
      <c r="AQ11" s="36"/>
      <c r="AR11" s="544">
        <f t="shared" ref="AR11:AR54" si="16">IF(BV11&gt;0,((R11+Z11+AB11+AL11)*(BW11/BV11)),0)</f>
        <v>0</v>
      </c>
      <c r="AS11" s="36">
        <f t="shared" ref="AS11:AS54" si="17">AR11*D11</f>
        <v>0</v>
      </c>
      <c r="AT11" s="544">
        <f>IF(PF!R7&gt;0,(CA11),0)</f>
        <v>0</v>
      </c>
      <c r="AU11" s="36">
        <f t="shared" ref="AU11:AU54" si="18">AT11*D11</f>
        <v>0</v>
      </c>
      <c r="AV11" s="545">
        <f t="shared" ref="AV11:AV54" si="19">IF(AR11&gt;0,BX11+CD11,0)</f>
        <v>0</v>
      </c>
      <c r="AW11" s="36"/>
      <c r="AX11" s="543">
        <f t="shared" ref="AX11:AX54" si="20">((R11+Z11+AB11+AD11+AF11+AJ11+AL11)+(R11+Z11+AB11+AD11+AF11+AJ11+AL11)*$AT$4)*$AR$4</f>
        <v>0</v>
      </c>
      <c r="AY11" s="36">
        <f t="shared" ref="AY11:AY54" si="21">AX11*(D11+AV11)</f>
        <v>0</v>
      </c>
      <c r="AZ11" s="544">
        <f t="shared" ref="AZ11:AZ54" si="22">IF(D11&gt;0,SUM(S11,Z11,AB11,AD11,AF11,AJ11,AR11,AL11,AT11,BG11),0)</f>
        <v>3016.7290389610394</v>
      </c>
      <c r="BA11" s="907">
        <f t="shared" ref="BA11:BA54" si="23">AZ11*D11</f>
        <v>3016.7290389610394</v>
      </c>
      <c r="BB11" s="951">
        <f>(BA11-AY11)*'E S'!$F$47</f>
        <v>2096.7128934900138</v>
      </c>
      <c r="BC11" s="952"/>
      <c r="BD11" s="953">
        <f>SUM(BA11:BB11)</f>
        <v>5113.4419324510527</v>
      </c>
      <c r="BE11" s="954"/>
      <c r="BF11" s="953">
        <f t="shared" ref="BF11:BF54" si="24">BD11*D11</f>
        <v>5113.4419324510527</v>
      </c>
      <c r="BG11" s="954">
        <f t="shared" ref="BG11:BG54" si="25">IF(D11&gt;0,AY11/D11,0)</f>
        <v>0</v>
      </c>
      <c r="BH11" s="952"/>
      <c r="BI11" s="952"/>
      <c r="BJ11" s="955"/>
      <c r="BK11" s="955">
        <v>1</v>
      </c>
      <c r="BL11" s="956">
        <f t="shared" ref="BL11:BL54" si="26">IF(D11&gt;0,(((AF11+AD11+BT11)/$BO$4)*$I$6),0)</f>
        <v>20.585807792207802</v>
      </c>
      <c r="BM11" s="955">
        <v>2</v>
      </c>
      <c r="BN11" s="956">
        <f t="shared" ref="BN11:BN54" si="27">IF(D11&gt;0,(S11+Z11+AD11+AF11)/$BO$4*$I$6,0)</f>
        <v>603.34580779220789</v>
      </c>
      <c r="BO11" s="955">
        <v>3</v>
      </c>
      <c r="BP11" s="956">
        <f t="shared" ref="BP11:BP54" si="28">IF($D11&gt;0,(BT11+BL11),0)</f>
        <v>20.585807792207802</v>
      </c>
      <c r="BQ11" s="955">
        <v>4</v>
      </c>
      <c r="BR11" s="956">
        <f>IF($D11&gt;0,(BN11*$N$4)+BN11,0)</f>
        <v>603.34580779220789</v>
      </c>
      <c r="BS11" s="955">
        <v>5</v>
      </c>
      <c r="BT11" s="956">
        <f t="shared" ref="BT11:BT54" si="29">IF($D11&gt;0,(R11/L11*$N$4*F11),0)</f>
        <v>0</v>
      </c>
      <c r="BU11" s="955"/>
      <c r="BV11" s="957">
        <f t="shared" ref="BV11:BV54" si="30">IF(AN11&gt;0,ROUNDUP((AN11*(30/(AN11+AP11))),0),0)</f>
        <v>0</v>
      </c>
      <c r="BW11" s="957">
        <f t="shared" ref="BW11:BW54" si="31">IF(BV11&gt;0,30-BV11,0)</f>
        <v>0</v>
      </c>
      <c r="BX11" s="955">
        <f t="shared" ref="BX11:BX54" si="32">IF(AR11&gt;0,((BW11*D11)/BV11),0)</f>
        <v>0</v>
      </c>
      <c r="BY11" s="958">
        <f t="shared" ref="BY11:BY54" si="33">IF(AR11&gt;0,((0.5*(D11+BX11))/BV11),0)</f>
        <v>0</v>
      </c>
      <c r="BZ11" s="959">
        <f t="shared" ref="BZ11:BZ54" si="34">1*(BV11+BW11)</f>
        <v>0</v>
      </c>
      <c r="CA11" s="960">
        <f t="shared" ref="CA11:CA54" si="35">IF(BZ11&gt;0,((R11+Z11+AB11+AJ11+AL11)/L11)*BZ11,0)</f>
        <v>0</v>
      </c>
      <c r="CB11" s="960" t="e">
        <f>(CA11*D11)/CC11</f>
        <v>#DIV/0!</v>
      </c>
      <c r="CC11" s="960">
        <f t="shared" ref="CC11:CC54" si="36">IF(CA11&gt;0,(CA11/BZ11)*L11,0)</f>
        <v>0</v>
      </c>
      <c r="CD11" s="954">
        <f t="shared" ref="CD11:CD54" si="37">IF(AT11&gt;0,CB11,0)</f>
        <v>0</v>
      </c>
      <c r="CE11" s="908"/>
      <c r="CF11" s="908"/>
      <c r="CG11" s="729"/>
      <c r="CH11" s="729"/>
      <c r="CI11" s="729"/>
      <c r="CJ11" s="729"/>
      <c r="CK11" s="729"/>
      <c r="CL11" s="729"/>
      <c r="CM11" s="729"/>
      <c r="CN11" s="729"/>
    </row>
    <row r="12" spans="1:92" s="3" customFormat="1" ht="12">
      <c r="A12" s="870">
        <v>2</v>
      </c>
      <c r="B12" s="71" t="s">
        <v>608</v>
      </c>
      <c r="C12" s="873"/>
      <c r="D12" s="71">
        <v>1</v>
      </c>
      <c r="F12" s="71">
        <v>21</v>
      </c>
      <c r="H12" s="74">
        <v>0.33333333333333331</v>
      </c>
      <c r="I12" s="34" t="str">
        <f t="shared" si="0"/>
        <v>às</v>
      </c>
      <c r="J12" s="74">
        <v>0.5</v>
      </c>
      <c r="K12" s="76"/>
      <c r="L12" s="916">
        <v>180</v>
      </c>
      <c r="M12" s="57"/>
      <c r="N12" s="549">
        <f t="shared" si="1"/>
        <v>180</v>
      </c>
      <c r="O12" s="57"/>
      <c r="P12" s="71"/>
      <c r="Q12" s="77">
        <f t="shared" si="2"/>
        <v>1866</v>
      </c>
      <c r="R12" s="78">
        <f>6*622/180*90</f>
        <v>1866</v>
      </c>
      <c r="S12" s="37">
        <f t="shared" si="3"/>
        <v>1866</v>
      </c>
      <c r="T12" s="82">
        <v>764</v>
      </c>
      <c r="U12" s="83">
        <f t="shared" si="4"/>
        <v>764</v>
      </c>
      <c r="V12" s="84">
        <v>0.2</v>
      </c>
      <c r="W12" s="57"/>
      <c r="X12" s="85" t="s">
        <v>610</v>
      </c>
      <c r="Z12" s="542">
        <f t="shared" si="5"/>
        <v>152.80000000000001</v>
      </c>
      <c r="AA12" s="36">
        <f t="shared" si="6"/>
        <v>152.80000000000001</v>
      </c>
      <c r="AB12" s="550"/>
      <c r="AC12" s="551">
        <f t="shared" si="7"/>
        <v>0</v>
      </c>
      <c r="AD12" s="542">
        <f t="shared" si="8"/>
        <v>0</v>
      </c>
      <c r="AE12" s="551">
        <f t="shared" si="9"/>
        <v>0</v>
      </c>
      <c r="AF12" s="542">
        <f t="shared" si="10"/>
        <v>0</v>
      </c>
      <c r="AG12" s="36">
        <f t="shared" si="11"/>
        <v>0</v>
      </c>
      <c r="AH12" s="86"/>
      <c r="AI12" s="36"/>
      <c r="AJ12" s="542">
        <f t="shared" si="12"/>
        <v>0</v>
      </c>
      <c r="AK12" s="36">
        <f t="shared" si="13"/>
        <v>0</v>
      </c>
      <c r="AL12" s="831"/>
      <c r="AM12" s="36">
        <f t="shared" si="14"/>
        <v>0</v>
      </c>
      <c r="AN12" s="86"/>
      <c r="AO12" s="34" t="str">
        <f t="shared" si="15"/>
        <v>.</v>
      </c>
      <c r="AP12" s="86"/>
      <c r="AQ12" s="36"/>
      <c r="AR12" s="544">
        <f t="shared" si="16"/>
        <v>0</v>
      </c>
      <c r="AS12" s="36">
        <f t="shared" si="17"/>
        <v>0</v>
      </c>
      <c r="AT12" s="544">
        <f>IF(PF!R8&gt;0,(CA12),0)</f>
        <v>0</v>
      </c>
      <c r="AU12" s="36">
        <f t="shared" si="18"/>
        <v>0</v>
      </c>
      <c r="AV12" s="545">
        <f t="shared" si="19"/>
        <v>0</v>
      </c>
      <c r="AW12" s="36"/>
      <c r="AX12" s="543">
        <f t="shared" si="20"/>
        <v>0</v>
      </c>
      <c r="AY12" s="36">
        <f t="shared" si="21"/>
        <v>0</v>
      </c>
      <c r="AZ12" s="544">
        <f t="shared" si="22"/>
        <v>2018.8</v>
      </c>
      <c r="BA12" s="907">
        <f t="shared" si="23"/>
        <v>2018.8</v>
      </c>
      <c r="BB12" s="951">
        <f>(BA12-AY12)*'E S'!$F$47</f>
        <v>1403.1236928177777</v>
      </c>
      <c r="BC12" s="952"/>
      <c r="BD12" s="953">
        <f t="shared" ref="BD12:BD54" si="38">SUM(BA12:BB12)</f>
        <v>3421.9236928177779</v>
      </c>
      <c r="BE12" s="954"/>
      <c r="BF12" s="953">
        <f t="shared" si="24"/>
        <v>3421.9236928177779</v>
      </c>
      <c r="BG12" s="954">
        <f t="shared" si="25"/>
        <v>0</v>
      </c>
      <c r="BH12" s="952"/>
      <c r="BI12" s="952"/>
      <c r="BJ12" s="955"/>
      <c r="BK12" s="955">
        <v>1</v>
      </c>
      <c r="BL12" s="956">
        <f t="shared" si="26"/>
        <v>0</v>
      </c>
      <c r="BM12" s="955">
        <v>2</v>
      </c>
      <c r="BN12" s="956">
        <f t="shared" si="27"/>
        <v>403.76</v>
      </c>
      <c r="BO12" s="955">
        <v>3</v>
      </c>
      <c r="BP12" s="956">
        <f t="shared" si="28"/>
        <v>0</v>
      </c>
      <c r="BQ12" s="955">
        <v>4</v>
      </c>
      <c r="BR12" s="956">
        <f t="shared" ref="BR12:BR54" si="39">IF(D12&gt;0,(BN12*$N$4)+BN12,0)</f>
        <v>403.76</v>
      </c>
      <c r="BS12" s="955">
        <v>5</v>
      </c>
      <c r="BT12" s="956">
        <f t="shared" si="29"/>
        <v>0</v>
      </c>
      <c r="BU12" s="955"/>
      <c r="BV12" s="957">
        <f t="shared" si="30"/>
        <v>0</v>
      </c>
      <c r="BW12" s="957">
        <f t="shared" si="31"/>
        <v>0</v>
      </c>
      <c r="BX12" s="955">
        <f t="shared" si="32"/>
        <v>0</v>
      </c>
      <c r="BY12" s="958">
        <f t="shared" si="33"/>
        <v>0</v>
      </c>
      <c r="BZ12" s="959">
        <f t="shared" si="34"/>
        <v>0</v>
      </c>
      <c r="CA12" s="960">
        <f t="shared" si="35"/>
        <v>0</v>
      </c>
      <c r="CB12" s="960">
        <f t="shared" ref="CB12:CB54" si="40">IF(CA12&gt;0,(CA12*D12)/CC12,0)</f>
        <v>0</v>
      </c>
      <c r="CC12" s="960">
        <f t="shared" si="36"/>
        <v>0</v>
      </c>
      <c r="CD12" s="954">
        <f t="shared" si="37"/>
        <v>0</v>
      </c>
      <c r="CE12" s="908"/>
      <c r="CF12" s="908"/>
      <c r="CG12" s="729"/>
      <c r="CH12" s="729"/>
      <c r="CI12" s="729"/>
      <c r="CJ12" s="729"/>
      <c r="CK12" s="729"/>
      <c r="CL12" s="729"/>
      <c r="CM12" s="729"/>
      <c r="CN12" s="729"/>
    </row>
    <row r="13" spans="1:92" s="3" customFormat="1" ht="12">
      <c r="A13" s="870">
        <v>3</v>
      </c>
      <c r="B13" s="71" t="s">
        <v>609</v>
      </c>
      <c r="C13" s="873"/>
      <c r="D13" s="71">
        <v>1</v>
      </c>
      <c r="F13" s="71">
        <v>25</v>
      </c>
      <c r="H13" s="74">
        <v>0.33333333333333331</v>
      </c>
      <c r="I13" s="34" t="str">
        <f t="shared" si="0"/>
        <v>às</v>
      </c>
      <c r="J13" s="74">
        <v>0.70833333333333337</v>
      </c>
      <c r="K13" s="76"/>
      <c r="L13" s="916">
        <v>220</v>
      </c>
      <c r="M13" s="57"/>
      <c r="N13" s="549">
        <f t="shared" si="1"/>
        <v>220</v>
      </c>
      <c r="O13" s="57"/>
      <c r="P13" s="71">
        <f>16*1/F13</f>
        <v>0.64</v>
      </c>
      <c r="Q13" s="77">
        <f t="shared" si="2"/>
        <v>2500</v>
      </c>
      <c r="R13" s="78">
        <v>2500</v>
      </c>
      <c r="S13" s="37">
        <f t="shared" si="3"/>
        <v>2500</v>
      </c>
      <c r="T13" s="82">
        <v>764</v>
      </c>
      <c r="U13" s="83">
        <f t="shared" si="4"/>
        <v>764</v>
      </c>
      <c r="V13" s="84">
        <v>0.2</v>
      </c>
      <c r="W13" s="57"/>
      <c r="X13" s="85" t="s">
        <v>610</v>
      </c>
      <c r="Z13" s="542">
        <f t="shared" si="5"/>
        <v>152.80000000000001</v>
      </c>
      <c r="AA13" s="36">
        <f t="shared" si="6"/>
        <v>152.80000000000001</v>
      </c>
      <c r="AB13" s="550"/>
      <c r="AC13" s="551">
        <f t="shared" si="7"/>
        <v>0</v>
      </c>
      <c r="AD13" s="542">
        <f t="shared" si="8"/>
        <v>57.879272727272728</v>
      </c>
      <c r="AE13" s="551">
        <f t="shared" si="9"/>
        <v>57.879272727272728</v>
      </c>
      <c r="AF13" s="542">
        <f t="shared" si="10"/>
        <v>35.830025974026015</v>
      </c>
      <c r="AG13" s="36">
        <f t="shared" si="11"/>
        <v>35.830025974026015</v>
      </c>
      <c r="AH13" s="86"/>
      <c r="AI13" s="36"/>
      <c r="AJ13" s="542">
        <f t="shared" si="12"/>
        <v>0</v>
      </c>
      <c r="AK13" s="36">
        <f t="shared" si="13"/>
        <v>0</v>
      </c>
      <c r="AL13" s="831"/>
      <c r="AM13" s="36">
        <f t="shared" si="14"/>
        <v>0</v>
      </c>
      <c r="AN13" s="86"/>
      <c r="AO13" s="34" t="str">
        <f t="shared" si="15"/>
        <v>.</v>
      </c>
      <c r="AP13" s="86"/>
      <c r="AQ13" s="36"/>
      <c r="AR13" s="544">
        <f t="shared" si="16"/>
        <v>0</v>
      </c>
      <c r="AS13" s="36">
        <f t="shared" si="17"/>
        <v>0</v>
      </c>
      <c r="AT13" s="544">
        <f>IF(PF!R9&gt;0,(CA13),0)</f>
        <v>0</v>
      </c>
      <c r="AU13" s="36">
        <f t="shared" si="18"/>
        <v>0</v>
      </c>
      <c r="AV13" s="545">
        <f t="shared" si="19"/>
        <v>0</v>
      </c>
      <c r="AW13" s="36"/>
      <c r="AX13" s="543">
        <f t="shared" si="20"/>
        <v>0</v>
      </c>
      <c r="AY13" s="36">
        <f t="shared" si="21"/>
        <v>0</v>
      </c>
      <c r="AZ13" s="544">
        <f t="shared" si="22"/>
        <v>2746.5092987012986</v>
      </c>
      <c r="BA13" s="907">
        <f t="shared" si="23"/>
        <v>2746.5092987012986</v>
      </c>
      <c r="BB13" s="951">
        <f>(BA13-AY13)*'E S'!$F$47</f>
        <v>1908.9024517298055</v>
      </c>
      <c r="BC13" s="952"/>
      <c r="BD13" s="953">
        <f t="shared" si="38"/>
        <v>4655.4117504311043</v>
      </c>
      <c r="BE13" s="954"/>
      <c r="BF13" s="953">
        <f t="shared" si="24"/>
        <v>4655.4117504311043</v>
      </c>
      <c r="BG13" s="954">
        <f t="shared" si="25"/>
        <v>0</v>
      </c>
      <c r="BH13" s="952"/>
      <c r="BI13" s="952"/>
      <c r="BJ13" s="955"/>
      <c r="BK13" s="955">
        <v>1</v>
      </c>
      <c r="BL13" s="956">
        <f t="shared" si="26"/>
        <v>18.741859740259748</v>
      </c>
      <c r="BM13" s="955">
        <v>2</v>
      </c>
      <c r="BN13" s="956">
        <f t="shared" si="27"/>
        <v>549.30185974025972</v>
      </c>
      <c r="BO13" s="955">
        <v>3</v>
      </c>
      <c r="BP13" s="956">
        <f t="shared" si="28"/>
        <v>18.741859740259748</v>
      </c>
      <c r="BQ13" s="955">
        <v>4</v>
      </c>
      <c r="BR13" s="956">
        <f t="shared" si="39"/>
        <v>549.30185974025972</v>
      </c>
      <c r="BS13" s="955">
        <v>5</v>
      </c>
      <c r="BT13" s="956">
        <f t="shared" si="29"/>
        <v>0</v>
      </c>
      <c r="BU13" s="955"/>
      <c r="BV13" s="957">
        <f t="shared" si="30"/>
        <v>0</v>
      </c>
      <c r="BW13" s="957">
        <f t="shared" si="31"/>
        <v>0</v>
      </c>
      <c r="BX13" s="955">
        <f t="shared" si="32"/>
        <v>0</v>
      </c>
      <c r="BY13" s="958">
        <f t="shared" si="33"/>
        <v>0</v>
      </c>
      <c r="BZ13" s="959">
        <f t="shared" si="34"/>
        <v>0</v>
      </c>
      <c r="CA13" s="960">
        <f t="shared" si="35"/>
        <v>0</v>
      </c>
      <c r="CB13" s="960">
        <f t="shared" si="40"/>
        <v>0</v>
      </c>
      <c r="CC13" s="960">
        <f t="shared" si="36"/>
        <v>0</v>
      </c>
      <c r="CD13" s="954">
        <f t="shared" si="37"/>
        <v>0</v>
      </c>
      <c r="CE13" s="908"/>
      <c r="CF13" s="908"/>
      <c r="CG13" s="729"/>
      <c r="CH13" s="729"/>
      <c r="CI13" s="729"/>
      <c r="CJ13" s="729"/>
      <c r="CK13" s="729"/>
      <c r="CL13" s="729"/>
      <c r="CM13" s="729"/>
      <c r="CN13" s="729"/>
    </row>
    <row r="14" spans="1:92" s="3" customFormat="1" ht="12">
      <c r="A14" s="870">
        <v>4</v>
      </c>
      <c r="B14" s="71"/>
      <c r="C14" s="873"/>
      <c r="D14" s="71"/>
      <c r="F14" s="71"/>
      <c r="H14" s="74"/>
      <c r="I14" s="34" t="str">
        <f t="shared" si="0"/>
        <v>.</v>
      </c>
      <c r="J14" s="74"/>
      <c r="K14" s="76"/>
      <c r="L14" s="916"/>
      <c r="M14" s="57"/>
      <c r="N14" s="549">
        <f t="shared" si="1"/>
        <v>0</v>
      </c>
      <c r="O14" s="57"/>
      <c r="P14" s="71"/>
      <c r="Q14" s="77">
        <f t="shared" si="2"/>
        <v>0</v>
      </c>
      <c r="R14" s="78"/>
      <c r="S14" s="37">
        <f t="shared" si="3"/>
        <v>0</v>
      </c>
      <c r="T14" s="82"/>
      <c r="U14" s="83">
        <f t="shared" si="4"/>
        <v>0</v>
      </c>
      <c r="V14" s="84"/>
      <c r="W14" s="57"/>
      <c r="X14" s="85"/>
      <c r="Z14" s="542">
        <f t="shared" si="5"/>
        <v>0</v>
      </c>
      <c r="AA14" s="36">
        <f t="shared" si="6"/>
        <v>0</v>
      </c>
      <c r="AB14" s="550"/>
      <c r="AC14" s="551">
        <f t="shared" si="7"/>
        <v>0</v>
      </c>
      <c r="AD14" s="542">
        <f t="shared" si="8"/>
        <v>0</v>
      </c>
      <c r="AE14" s="551">
        <f t="shared" si="9"/>
        <v>0</v>
      </c>
      <c r="AF14" s="542">
        <f t="shared" si="10"/>
        <v>0</v>
      </c>
      <c r="AG14" s="36">
        <f t="shared" si="11"/>
        <v>0</v>
      </c>
      <c r="AH14" s="86"/>
      <c r="AI14" s="36"/>
      <c r="AJ14" s="542">
        <f t="shared" si="12"/>
        <v>0</v>
      </c>
      <c r="AK14" s="36">
        <f t="shared" si="13"/>
        <v>0</v>
      </c>
      <c r="AL14" s="831"/>
      <c r="AM14" s="36">
        <f t="shared" si="14"/>
        <v>0</v>
      </c>
      <c r="AN14" s="86"/>
      <c r="AO14" s="34" t="str">
        <f t="shared" si="15"/>
        <v>.</v>
      </c>
      <c r="AP14" s="86"/>
      <c r="AQ14" s="36"/>
      <c r="AR14" s="544">
        <f t="shared" si="16"/>
        <v>0</v>
      </c>
      <c r="AS14" s="36">
        <f t="shared" si="17"/>
        <v>0</v>
      </c>
      <c r="AT14" s="544">
        <f>IF(PF!R10&gt;0,(CA14),0)</f>
        <v>0</v>
      </c>
      <c r="AU14" s="36">
        <f t="shared" si="18"/>
        <v>0</v>
      </c>
      <c r="AV14" s="545">
        <f t="shared" si="19"/>
        <v>0</v>
      </c>
      <c r="AW14" s="36"/>
      <c r="AX14" s="543">
        <f t="shared" si="20"/>
        <v>0</v>
      </c>
      <c r="AY14" s="36">
        <f t="shared" si="21"/>
        <v>0</v>
      </c>
      <c r="AZ14" s="544">
        <f t="shared" si="22"/>
        <v>0</v>
      </c>
      <c r="BA14" s="907">
        <f t="shared" si="23"/>
        <v>0</v>
      </c>
      <c r="BB14" s="951">
        <f>(BA14-AY14)*'E S'!$F$47</f>
        <v>0</v>
      </c>
      <c r="BC14" s="952"/>
      <c r="BD14" s="953">
        <f t="shared" si="38"/>
        <v>0</v>
      </c>
      <c r="BE14" s="954"/>
      <c r="BF14" s="953">
        <f t="shared" si="24"/>
        <v>0</v>
      </c>
      <c r="BG14" s="954">
        <f t="shared" si="25"/>
        <v>0</v>
      </c>
      <c r="BH14" s="952"/>
      <c r="BI14" s="952"/>
      <c r="BJ14" s="955"/>
      <c r="BK14" s="955">
        <v>1</v>
      </c>
      <c r="BL14" s="956">
        <f t="shared" si="26"/>
        <v>0</v>
      </c>
      <c r="BM14" s="955">
        <v>2</v>
      </c>
      <c r="BN14" s="956">
        <f t="shared" si="27"/>
        <v>0</v>
      </c>
      <c r="BO14" s="955">
        <v>3</v>
      </c>
      <c r="BP14" s="956">
        <f t="shared" si="28"/>
        <v>0</v>
      </c>
      <c r="BQ14" s="955">
        <v>4</v>
      </c>
      <c r="BR14" s="956">
        <f t="shared" si="39"/>
        <v>0</v>
      </c>
      <c r="BS14" s="955">
        <v>5</v>
      </c>
      <c r="BT14" s="956">
        <f t="shared" si="29"/>
        <v>0</v>
      </c>
      <c r="BU14" s="955"/>
      <c r="BV14" s="957">
        <f t="shared" si="30"/>
        <v>0</v>
      </c>
      <c r="BW14" s="957">
        <f t="shared" si="31"/>
        <v>0</v>
      </c>
      <c r="BX14" s="955">
        <f t="shared" si="32"/>
        <v>0</v>
      </c>
      <c r="BY14" s="958">
        <f t="shared" si="33"/>
        <v>0</v>
      </c>
      <c r="BZ14" s="959">
        <f t="shared" si="34"/>
        <v>0</v>
      </c>
      <c r="CA14" s="960">
        <f t="shared" si="35"/>
        <v>0</v>
      </c>
      <c r="CB14" s="960">
        <f t="shared" si="40"/>
        <v>0</v>
      </c>
      <c r="CC14" s="960">
        <f t="shared" si="36"/>
        <v>0</v>
      </c>
      <c r="CD14" s="954">
        <f t="shared" si="37"/>
        <v>0</v>
      </c>
      <c r="CE14" s="908"/>
      <c r="CF14" s="908"/>
      <c r="CG14" s="729"/>
      <c r="CH14" s="729"/>
      <c r="CI14" s="729"/>
      <c r="CJ14" s="729"/>
      <c r="CK14" s="729"/>
      <c r="CL14" s="729"/>
      <c r="CM14" s="729"/>
      <c r="CN14" s="729"/>
    </row>
    <row r="15" spans="1:92" s="3" customFormat="1" ht="12" hidden="1">
      <c r="A15" s="870">
        <v>5</v>
      </c>
      <c r="B15" s="71"/>
      <c r="C15" s="873"/>
      <c r="D15" s="71"/>
      <c r="F15" s="71"/>
      <c r="H15" s="74"/>
      <c r="I15" s="34" t="str">
        <f t="shared" si="0"/>
        <v>.</v>
      </c>
      <c r="J15" s="74"/>
      <c r="K15" s="76"/>
      <c r="L15" s="916"/>
      <c r="M15" s="57"/>
      <c r="N15" s="549">
        <f t="shared" si="1"/>
        <v>0</v>
      </c>
      <c r="O15" s="57"/>
      <c r="P15" s="71"/>
      <c r="Q15" s="77">
        <f t="shared" si="2"/>
        <v>0</v>
      </c>
      <c r="R15" s="78"/>
      <c r="S15" s="37">
        <f t="shared" si="3"/>
        <v>0</v>
      </c>
      <c r="T15" s="82"/>
      <c r="U15" s="83">
        <f t="shared" si="4"/>
        <v>0</v>
      </c>
      <c r="V15" s="84"/>
      <c r="W15" s="57"/>
      <c r="X15" s="85"/>
      <c r="Z15" s="542">
        <f t="shared" si="5"/>
        <v>0</v>
      </c>
      <c r="AA15" s="36">
        <f t="shared" si="6"/>
        <v>0</v>
      </c>
      <c r="AB15" s="550"/>
      <c r="AC15" s="551">
        <f t="shared" si="7"/>
        <v>0</v>
      </c>
      <c r="AD15" s="542">
        <f t="shared" si="8"/>
        <v>0</v>
      </c>
      <c r="AE15" s="551">
        <f t="shared" si="9"/>
        <v>0</v>
      </c>
      <c r="AF15" s="542">
        <f t="shared" si="10"/>
        <v>0</v>
      </c>
      <c r="AG15" s="36">
        <f t="shared" si="11"/>
        <v>0</v>
      </c>
      <c r="AH15" s="86"/>
      <c r="AI15" s="36"/>
      <c r="AJ15" s="542">
        <f t="shared" si="12"/>
        <v>0</v>
      </c>
      <c r="AK15" s="36">
        <f t="shared" si="13"/>
        <v>0</v>
      </c>
      <c r="AL15" s="831"/>
      <c r="AM15" s="36">
        <f t="shared" si="14"/>
        <v>0</v>
      </c>
      <c r="AN15" s="86"/>
      <c r="AO15" s="34" t="str">
        <f t="shared" si="15"/>
        <v>.</v>
      </c>
      <c r="AP15" s="86"/>
      <c r="AQ15" s="36"/>
      <c r="AR15" s="544">
        <f t="shared" si="16"/>
        <v>0</v>
      </c>
      <c r="AS15" s="36">
        <f t="shared" si="17"/>
        <v>0</v>
      </c>
      <c r="AT15" s="544">
        <f>IF(PF!R11&gt;0,(CA15),0)</f>
        <v>0</v>
      </c>
      <c r="AU15" s="36">
        <f t="shared" si="18"/>
        <v>0</v>
      </c>
      <c r="AV15" s="545">
        <f t="shared" si="19"/>
        <v>0</v>
      </c>
      <c r="AW15" s="36"/>
      <c r="AX15" s="543">
        <f t="shared" si="20"/>
        <v>0</v>
      </c>
      <c r="AY15" s="36">
        <f t="shared" si="21"/>
        <v>0</v>
      </c>
      <c r="AZ15" s="544">
        <f t="shared" si="22"/>
        <v>0</v>
      </c>
      <c r="BA15" s="907">
        <f t="shared" si="23"/>
        <v>0</v>
      </c>
      <c r="BB15" s="951">
        <f>(BA15-AY15)*'E S'!$F$47</f>
        <v>0</v>
      </c>
      <c r="BC15" s="952"/>
      <c r="BD15" s="953">
        <f t="shared" si="38"/>
        <v>0</v>
      </c>
      <c r="BE15" s="954"/>
      <c r="BF15" s="953">
        <f t="shared" si="24"/>
        <v>0</v>
      </c>
      <c r="BG15" s="954">
        <f t="shared" si="25"/>
        <v>0</v>
      </c>
      <c r="BH15" s="952"/>
      <c r="BI15" s="952"/>
      <c r="BJ15" s="955"/>
      <c r="BK15" s="955">
        <v>1</v>
      </c>
      <c r="BL15" s="956">
        <f t="shared" si="26"/>
        <v>0</v>
      </c>
      <c r="BM15" s="955">
        <v>2</v>
      </c>
      <c r="BN15" s="956">
        <f t="shared" si="27"/>
        <v>0</v>
      </c>
      <c r="BO15" s="955">
        <v>3</v>
      </c>
      <c r="BP15" s="956">
        <f t="shared" si="28"/>
        <v>0</v>
      </c>
      <c r="BQ15" s="955">
        <v>4</v>
      </c>
      <c r="BR15" s="956">
        <f t="shared" si="39"/>
        <v>0</v>
      </c>
      <c r="BS15" s="955">
        <v>5</v>
      </c>
      <c r="BT15" s="956">
        <f t="shared" si="29"/>
        <v>0</v>
      </c>
      <c r="BU15" s="955"/>
      <c r="BV15" s="957">
        <f t="shared" si="30"/>
        <v>0</v>
      </c>
      <c r="BW15" s="957">
        <f t="shared" si="31"/>
        <v>0</v>
      </c>
      <c r="BX15" s="955">
        <f t="shared" si="32"/>
        <v>0</v>
      </c>
      <c r="BY15" s="958">
        <f t="shared" si="33"/>
        <v>0</v>
      </c>
      <c r="BZ15" s="959">
        <f t="shared" si="34"/>
        <v>0</v>
      </c>
      <c r="CA15" s="960">
        <f t="shared" si="35"/>
        <v>0</v>
      </c>
      <c r="CB15" s="960">
        <f t="shared" si="40"/>
        <v>0</v>
      </c>
      <c r="CC15" s="960">
        <f t="shared" si="36"/>
        <v>0</v>
      </c>
      <c r="CD15" s="954">
        <f t="shared" si="37"/>
        <v>0</v>
      </c>
      <c r="CE15" s="908"/>
      <c r="CF15" s="908"/>
      <c r="CG15" s="729"/>
      <c r="CH15" s="729"/>
      <c r="CI15" s="729"/>
      <c r="CJ15" s="729"/>
      <c r="CK15" s="729"/>
      <c r="CL15" s="729"/>
      <c r="CM15" s="729"/>
      <c r="CN15" s="729"/>
    </row>
    <row r="16" spans="1:92" s="3" customFormat="1" ht="12" hidden="1">
      <c r="A16" s="870">
        <v>6</v>
      </c>
      <c r="B16" s="71"/>
      <c r="C16" s="873"/>
      <c r="D16" s="71"/>
      <c r="F16" s="71"/>
      <c r="H16" s="74"/>
      <c r="I16" s="34" t="str">
        <f t="shared" si="0"/>
        <v>.</v>
      </c>
      <c r="J16" s="74"/>
      <c r="K16" s="76"/>
      <c r="L16" s="916"/>
      <c r="M16" s="57"/>
      <c r="N16" s="549">
        <f t="shared" si="1"/>
        <v>0</v>
      </c>
      <c r="O16" s="57"/>
      <c r="P16" s="71"/>
      <c r="Q16" s="77">
        <f t="shared" si="2"/>
        <v>0</v>
      </c>
      <c r="R16" s="78"/>
      <c r="S16" s="37">
        <f t="shared" si="3"/>
        <v>0</v>
      </c>
      <c r="T16" s="82"/>
      <c r="U16" s="83">
        <f t="shared" si="4"/>
        <v>0</v>
      </c>
      <c r="V16" s="84"/>
      <c r="W16" s="57"/>
      <c r="X16" s="85"/>
      <c r="Z16" s="542">
        <f t="shared" si="5"/>
        <v>0</v>
      </c>
      <c r="AA16" s="36">
        <f t="shared" si="6"/>
        <v>0</v>
      </c>
      <c r="AB16" s="550"/>
      <c r="AC16" s="551">
        <f t="shared" si="7"/>
        <v>0</v>
      </c>
      <c r="AD16" s="542">
        <f t="shared" si="8"/>
        <v>0</v>
      </c>
      <c r="AE16" s="551">
        <f t="shared" si="9"/>
        <v>0</v>
      </c>
      <c r="AF16" s="542">
        <f t="shared" si="10"/>
        <v>0</v>
      </c>
      <c r="AG16" s="36">
        <f t="shared" si="11"/>
        <v>0</v>
      </c>
      <c r="AH16" s="86"/>
      <c r="AI16" s="36"/>
      <c r="AJ16" s="542">
        <f t="shared" si="12"/>
        <v>0</v>
      </c>
      <c r="AK16" s="36">
        <f t="shared" si="13"/>
        <v>0</v>
      </c>
      <c r="AL16" s="831"/>
      <c r="AM16" s="36">
        <f t="shared" si="14"/>
        <v>0</v>
      </c>
      <c r="AN16" s="86"/>
      <c r="AO16" s="34" t="str">
        <f t="shared" si="15"/>
        <v>.</v>
      </c>
      <c r="AP16" s="86"/>
      <c r="AQ16" s="36"/>
      <c r="AR16" s="544">
        <f t="shared" si="16"/>
        <v>0</v>
      </c>
      <c r="AS16" s="36">
        <f t="shared" si="17"/>
        <v>0</v>
      </c>
      <c r="AT16" s="544">
        <f>IF(PF!R12&gt;0,(CA16),0)</f>
        <v>0</v>
      </c>
      <c r="AU16" s="36">
        <f t="shared" si="18"/>
        <v>0</v>
      </c>
      <c r="AV16" s="545">
        <f t="shared" si="19"/>
        <v>0</v>
      </c>
      <c r="AW16" s="36"/>
      <c r="AX16" s="543">
        <f t="shared" si="20"/>
        <v>0</v>
      </c>
      <c r="AY16" s="36">
        <f t="shared" si="21"/>
        <v>0</v>
      </c>
      <c r="AZ16" s="544">
        <f t="shared" si="22"/>
        <v>0</v>
      </c>
      <c r="BA16" s="907">
        <f t="shared" si="23"/>
        <v>0</v>
      </c>
      <c r="BB16" s="951">
        <f>(BA16-AY16)*'E S'!$F$47</f>
        <v>0</v>
      </c>
      <c r="BC16" s="952"/>
      <c r="BD16" s="953">
        <f t="shared" si="38"/>
        <v>0</v>
      </c>
      <c r="BE16" s="954"/>
      <c r="BF16" s="953">
        <f t="shared" si="24"/>
        <v>0</v>
      </c>
      <c r="BG16" s="954">
        <f t="shared" si="25"/>
        <v>0</v>
      </c>
      <c r="BH16" s="952"/>
      <c r="BI16" s="952"/>
      <c r="BJ16" s="955"/>
      <c r="BK16" s="955">
        <v>1</v>
      </c>
      <c r="BL16" s="956">
        <f t="shared" si="26"/>
        <v>0</v>
      </c>
      <c r="BM16" s="955">
        <v>2</v>
      </c>
      <c r="BN16" s="956">
        <f t="shared" si="27"/>
        <v>0</v>
      </c>
      <c r="BO16" s="955">
        <v>3</v>
      </c>
      <c r="BP16" s="956">
        <f t="shared" si="28"/>
        <v>0</v>
      </c>
      <c r="BQ16" s="955">
        <v>4</v>
      </c>
      <c r="BR16" s="956">
        <f t="shared" si="39"/>
        <v>0</v>
      </c>
      <c r="BS16" s="955">
        <v>5</v>
      </c>
      <c r="BT16" s="956">
        <f t="shared" si="29"/>
        <v>0</v>
      </c>
      <c r="BU16" s="955"/>
      <c r="BV16" s="957">
        <f t="shared" si="30"/>
        <v>0</v>
      </c>
      <c r="BW16" s="957">
        <f t="shared" si="31"/>
        <v>0</v>
      </c>
      <c r="BX16" s="955">
        <f t="shared" si="32"/>
        <v>0</v>
      </c>
      <c r="BY16" s="958">
        <f t="shared" si="33"/>
        <v>0</v>
      </c>
      <c r="BZ16" s="959">
        <f t="shared" si="34"/>
        <v>0</v>
      </c>
      <c r="CA16" s="960">
        <f t="shared" si="35"/>
        <v>0</v>
      </c>
      <c r="CB16" s="960">
        <f t="shared" si="40"/>
        <v>0</v>
      </c>
      <c r="CC16" s="960">
        <f t="shared" si="36"/>
        <v>0</v>
      </c>
      <c r="CD16" s="954">
        <f t="shared" si="37"/>
        <v>0</v>
      </c>
      <c r="CE16" s="908"/>
      <c r="CF16" s="908"/>
      <c r="CG16" s="729"/>
      <c r="CH16" s="729"/>
      <c r="CI16" s="729"/>
      <c r="CJ16" s="729"/>
      <c r="CK16" s="729"/>
      <c r="CL16" s="729"/>
      <c r="CM16" s="729"/>
      <c r="CN16" s="729"/>
    </row>
    <row r="17" spans="1:92" s="3" customFormat="1" ht="12" hidden="1">
      <c r="A17" s="870">
        <v>7</v>
      </c>
      <c r="B17" s="71"/>
      <c r="C17" s="873"/>
      <c r="D17" s="71"/>
      <c r="F17" s="71"/>
      <c r="G17" s="17"/>
      <c r="H17" s="74"/>
      <c r="I17" s="34" t="str">
        <f t="shared" si="0"/>
        <v>.</v>
      </c>
      <c r="J17" s="74"/>
      <c r="K17" s="76"/>
      <c r="L17" s="916"/>
      <c r="M17" s="68"/>
      <c r="N17" s="549">
        <f t="shared" si="1"/>
        <v>0</v>
      </c>
      <c r="O17" s="68"/>
      <c r="P17" s="79"/>
      <c r="Q17" s="77">
        <f t="shared" si="2"/>
        <v>0</v>
      </c>
      <c r="R17" s="78"/>
      <c r="S17" s="37">
        <f t="shared" si="3"/>
        <v>0</v>
      </c>
      <c r="T17" s="82"/>
      <c r="U17" s="83">
        <f t="shared" si="4"/>
        <v>0</v>
      </c>
      <c r="V17" s="84"/>
      <c r="W17" s="57"/>
      <c r="X17" s="85"/>
      <c r="Z17" s="542">
        <f t="shared" si="5"/>
        <v>0</v>
      </c>
      <c r="AA17" s="36">
        <f t="shared" si="6"/>
        <v>0</v>
      </c>
      <c r="AB17" s="550"/>
      <c r="AC17" s="551">
        <f t="shared" si="7"/>
        <v>0</v>
      </c>
      <c r="AD17" s="542">
        <f t="shared" si="8"/>
        <v>0</v>
      </c>
      <c r="AE17" s="551">
        <f t="shared" si="9"/>
        <v>0</v>
      </c>
      <c r="AF17" s="542">
        <f t="shared" si="10"/>
        <v>0</v>
      </c>
      <c r="AG17" s="36">
        <f t="shared" si="11"/>
        <v>0</v>
      </c>
      <c r="AH17" s="86"/>
      <c r="AI17" s="36"/>
      <c r="AJ17" s="542">
        <f t="shared" si="12"/>
        <v>0</v>
      </c>
      <c r="AK17" s="36">
        <f t="shared" si="13"/>
        <v>0</v>
      </c>
      <c r="AL17" s="831"/>
      <c r="AM17" s="36">
        <f t="shared" si="14"/>
        <v>0</v>
      </c>
      <c r="AN17" s="86"/>
      <c r="AO17" s="34" t="str">
        <f t="shared" si="15"/>
        <v>.</v>
      </c>
      <c r="AP17" s="86"/>
      <c r="AQ17" s="36"/>
      <c r="AR17" s="544">
        <f t="shared" si="16"/>
        <v>0</v>
      </c>
      <c r="AS17" s="36">
        <f t="shared" si="17"/>
        <v>0</v>
      </c>
      <c r="AT17" s="544">
        <f>IF(PF!R13&gt;0,(CA17),0)</f>
        <v>0</v>
      </c>
      <c r="AU17" s="36">
        <f t="shared" si="18"/>
        <v>0</v>
      </c>
      <c r="AV17" s="545">
        <f t="shared" si="19"/>
        <v>0</v>
      </c>
      <c r="AW17" s="36"/>
      <c r="AX17" s="543">
        <f t="shared" si="20"/>
        <v>0</v>
      </c>
      <c r="AY17" s="36">
        <f t="shared" si="21"/>
        <v>0</v>
      </c>
      <c r="AZ17" s="544">
        <f t="shared" si="22"/>
        <v>0</v>
      </c>
      <c r="BA17" s="907">
        <f t="shared" si="23"/>
        <v>0</v>
      </c>
      <c r="BB17" s="951">
        <f>(BA17-AY17)*'E S'!$F$47</f>
        <v>0</v>
      </c>
      <c r="BC17" s="952"/>
      <c r="BD17" s="953">
        <f t="shared" si="38"/>
        <v>0</v>
      </c>
      <c r="BE17" s="954"/>
      <c r="BF17" s="953">
        <f t="shared" si="24"/>
        <v>0</v>
      </c>
      <c r="BG17" s="954">
        <f t="shared" si="25"/>
        <v>0</v>
      </c>
      <c r="BH17" s="952"/>
      <c r="BI17" s="952"/>
      <c r="BJ17" s="955"/>
      <c r="BK17" s="955">
        <v>1</v>
      </c>
      <c r="BL17" s="956">
        <f t="shared" si="26"/>
        <v>0</v>
      </c>
      <c r="BM17" s="955">
        <v>2</v>
      </c>
      <c r="BN17" s="956">
        <f t="shared" si="27"/>
        <v>0</v>
      </c>
      <c r="BO17" s="955">
        <v>3</v>
      </c>
      <c r="BP17" s="956">
        <f t="shared" si="28"/>
        <v>0</v>
      </c>
      <c r="BQ17" s="955">
        <v>4</v>
      </c>
      <c r="BR17" s="956">
        <f t="shared" si="39"/>
        <v>0</v>
      </c>
      <c r="BS17" s="955">
        <v>5</v>
      </c>
      <c r="BT17" s="956">
        <f t="shared" si="29"/>
        <v>0</v>
      </c>
      <c r="BU17" s="955"/>
      <c r="BV17" s="957">
        <f t="shared" si="30"/>
        <v>0</v>
      </c>
      <c r="BW17" s="957">
        <f t="shared" si="31"/>
        <v>0</v>
      </c>
      <c r="BX17" s="955">
        <f t="shared" si="32"/>
        <v>0</v>
      </c>
      <c r="BY17" s="958">
        <f t="shared" si="33"/>
        <v>0</v>
      </c>
      <c r="BZ17" s="959">
        <f t="shared" si="34"/>
        <v>0</v>
      </c>
      <c r="CA17" s="960">
        <f t="shared" si="35"/>
        <v>0</v>
      </c>
      <c r="CB17" s="960">
        <f t="shared" si="40"/>
        <v>0</v>
      </c>
      <c r="CC17" s="960">
        <f t="shared" si="36"/>
        <v>0</v>
      </c>
      <c r="CD17" s="954">
        <f t="shared" si="37"/>
        <v>0</v>
      </c>
      <c r="CE17" s="908"/>
      <c r="CF17" s="908"/>
      <c r="CG17" s="729"/>
      <c r="CH17" s="729"/>
      <c r="CI17" s="729"/>
      <c r="CJ17" s="729"/>
      <c r="CK17" s="729"/>
      <c r="CL17" s="729"/>
      <c r="CM17" s="729"/>
      <c r="CN17" s="729"/>
    </row>
    <row r="18" spans="1:92" s="3" customFormat="1" ht="12" hidden="1">
      <c r="A18" s="870">
        <v>8</v>
      </c>
      <c r="B18" s="71"/>
      <c r="C18" s="873"/>
      <c r="D18" s="71"/>
      <c r="F18" s="71"/>
      <c r="H18" s="74"/>
      <c r="I18" s="34" t="str">
        <f t="shared" si="0"/>
        <v>.</v>
      </c>
      <c r="J18" s="74"/>
      <c r="K18" s="76"/>
      <c r="L18" s="916"/>
      <c r="M18" s="57"/>
      <c r="N18" s="549">
        <f t="shared" si="1"/>
        <v>0</v>
      </c>
      <c r="O18" s="57"/>
      <c r="P18" s="71"/>
      <c r="Q18" s="77">
        <f t="shared" si="2"/>
        <v>0</v>
      </c>
      <c r="R18" s="78"/>
      <c r="S18" s="37">
        <f t="shared" si="3"/>
        <v>0</v>
      </c>
      <c r="T18" s="82"/>
      <c r="U18" s="83">
        <f t="shared" si="4"/>
        <v>0</v>
      </c>
      <c r="V18" s="84"/>
      <c r="W18" s="57"/>
      <c r="X18" s="85"/>
      <c r="Z18" s="542">
        <f t="shared" si="5"/>
        <v>0</v>
      </c>
      <c r="AA18" s="36">
        <f t="shared" si="6"/>
        <v>0</v>
      </c>
      <c r="AB18" s="550"/>
      <c r="AC18" s="551">
        <f t="shared" si="7"/>
        <v>0</v>
      </c>
      <c r="AD18" s="542">
        <f t="shared" si="8"/>
        <v>0</v>
      </c>
      <c r="AE18" s="551">
        <f t="shared" si="9"/>
        <v>0</v>
      </c>
      <c r="AF18" s="542">
        <f t="shared" si="10"/>
        <v>0</v>
      </c>
      <c r="AG18" s="36">
        <f t="shared" si="11"/>
        <v>0</v>
      </c>
      <c r="AH18" s="86"/>
      <c r="AI18" s="36"/>
      <c r="AJ18" s="542">
        <f t="shared" si="12"/>
        <v>0</v>
      </c>
      <c r="AK18" s="36">
        <f t="shared" si="13"/>
        <v>0</v>
      </c>
      <c r="AL18" s="831"/>
      <c r="AM18" s="36">
        <f t="shared" si="14"/>
        <v>0</v>
      </c>
      <c r="AN18" s="86"/>
      <c r="AO18" s="34" t="str">
        <f t="shared" si="15"/>
        <v>.</v>
      </c>
      <c r="AP18" s="86"/>
      <c r="AQ18" s="36"/>
      <c r="AR18" s="544">
        <f t="shared" si="16"/>
        <v>0</v>
      </c>
      <c r="AS18" s="36">
        <f t="shared" si="17"/>
        <v>0</v>
      </c>
      <c r="AT18" s="544">
        <f>IF(PF!R14&gt;0,(CA18),0)</f>
        <v>0</v>
      </c>
      <c r="AU18" s="36">
        <f t="shared" si="18"/>
        <v>0</v>
      </c>
      <c r="AV18" s="545">
        <f t="shared" si="19"/>
        <v>0</v>
      </c>
      <c r="AW18" s="36"/>
      <c r="AX18" s="543">
        <f t="shared" si="20"/>
        <v>0</v>
      </c>
      <c r="AY18" s="36">
        <f t="shared" si="21"/>
        <v>0</v>
      </c>
      <c r="AZ18" s="544">
        <f t="shared" si="22"/>
        <v>0</v>
      </c>
      <c r="BA18" s="907">
        <f t="shared" si="23"/>
        <v>0</v>
      </c>
      <c r="BB18" s="951">
        <f>(BA18-AY18)*'E S'!$F$47</f>
        <v>0</v>
      </c>
      <c r="BC18" s="952"/>
      <c r="BD18" s="953">
        <f t="shared" si="38"/>
        <v>0</v>
      </c>
      <c r="BE18" s="954"/>
      <c r="BF18" s="953">
        <f t="shared" si="24"/>
        <v>0</v>
      </c>
      <c r="BG18" s="954">
        <f t="shared" si="25"/>
        <v>0</v>
      </c>
      <c r="BH18" s="952"/>
      <c r="BI18" s="952"/>
      <c r="BJ18" s="955"/>
      <c r="BK18" s="955">
        <v>1</v>
      </c>
      <c r="BL18" s="956">
        <f t="shared" si="26"/>
        <v>0</v>
      </c>
      <c r="BM18" s="955">
        <v>2</v>
      </c>
      <c r="BN18" s="956">
        <f t="shared" si="27"/>
        <v>0</v>
      </c>
      <c r="BO18" s="955">
        <v>3</v>
      </c>
      <c r="BP18" s="956">
        <f t="shared" si="28"/>
        <v>0</v>
      </c>
      <c r="BQ18" s="955">
        <v>4</v>
      </c>
      <c r="BR18" s="956">
        <f t="shared" si="39"/>
        <v>0</v>
      </c>
      <c r="BS18" s="955">
        <v>5</v>
      </c>
      <c r="BT18" s="956">
        <f t="shared" si="29"/>
        <v>0</v>
      </c>
      <c r="BU18" s="955"/>
      <c r="BV18" s="957">
        <f t="shared" si="30"/>
        <v>0</v>
      </c>
      <c r="BW18" s="957">
        <f t="shared" si="31"/>
        <v>0</v>
      </c>
      <c r="BX18" s="955">
        <f t="shared" si="32"/>
        <v>0</v>
      </c>
      <c r="BY18" s="958">
        <f t="shared" si="33"/>
        <v>0</v>
      </c>
      <c r="BZ18" s="959">
        <f t="shared" si="34"/>
        <v>0</v>
      </c>
      <c r="CA18" s="960">
        <f t="shared" si="35"/>
        <v>0</v>
      </c>
      <c r="CB18" s="960">
        <f t="shared" si="40"/>
        <v>0</v>
      </c>
      <c r="CC18" s="960">
        <f t="shared" si="36"/>
        <v>0</v>
      </c>
      <c r="CD18" s="954">
        <f t="shared" si="37"/>
        <v>0</v>
      </c>
      <c r="CE18" s="908"/>
      <c r="CF18" s="908"/>
      <c r="CG18" s="729"/>
      <c r="CH18" s="729"/>
      <c r="CI18" s="729"/>
      <c r="CJ18" s="729"/>
      <c r="CK18" s="729"/>
      <c r="CL18" s="729"/>
      <c r="CM18" s="729"/>
      <c r="CN18" s="729"/>
    </row>
    <row r="19" spans="1:92" s="3" customFormat="1" ht="12" hidden="1">
      <c r="A19" s="870">
        <v>9</v>
      </c>
      <c r="B19" s="71"/>
      <c r="C19" s="873"/>
      <c r="D19" s="71"/>
      <c r="F19" s="71"/>
      <c r="H19" s="74"/>
      <c r="I19" s="34" t="str">
        <f t="shared" si="0"/>
        <v>.</v>
      </c>
      <c r="J19" s="74"/>
      <c r="K19" s="76"/>
      <c r="L19" s="916"/>
      <c r="M19" s="57"/>
      <c r="N19" s="549">
        <f t="shared" si="1"/>
        <v>0</v>
      </c>
      <c r="O19" s="57"/>
      <c r="P19" s="71"/>
      <c r="Q19" s="77">
        <f t="shared" si="2"/>
        <v>0</v>
      </c>
      <c r="R19" s="78"/>
      <c r="S19" s="37">
        <f t="shared" si="3"/>
        <v>0</v>
      </c>
      <c r="T19" s="82"/>
      <c r="U19" s="83">
        <f t="shared" si="4"/>
        <v>0</v>
      </c>
      <c r="V19" s="84"/>
      <c r="W19" s="57"/>
      <c r="X19" s="85"/>
      <c r="Z19" s="542">
        <f t="shared" si="5"/>
        <v>0</v>
      </c>
      <c r="AA19" s="36">
        <f t="shared" si="6"/>
        <v>0</v>
      </c>
      <c r="AB19" s="550"/>
      <c r="AC19" s="551">
        <f t="shared" si="7"/>
        <v>0</v>
      </c>
      <c r="AD19" s="542">
        <f t="shared" si="8"/>
        <v>0</v>
      </c>
      <c r="AE19" s="551">
        <f t="shared" si="9"/>
        <v>0</v>
      </c>
      <c r="AF19" s="542">
        <f t="shared" si="10"/>
        <v>0</v>
      </c>
      <c r="AG19" s="36">
        <f t="shared" si="11"/>
        <v>0</v>
      </c>
      <c r="AH19" s="86"/>
      <c r="AI19" s="36"/>
      <c r="AJ19" s="542">
        <f t="shared" si="12"/>
        <v>0</v>
      </c>
      <c r="AK19" s="36">
        <f t="shared" si="13"/>
        <v>0</v>
      </c>
      <c r="AL19" s="831"/>
      <c r="AM19" s="36">
        <f t="shared" si="14"/>
        <v>0</v>
      </c>
      <c r="AN19" s="86"/>
      <c r="AO19" s="34" t="str">
        <f t="shared" si="15"/>
        <v>.</v>
      </c>
      <c r="AP19" s="86"/>
      <c r="AQ19" s="36"/>
      <c r="AR19" s="544">
        <f t="shared" si="16"/>
        <v>0</v>
      </c>
      <c r="AS19" s="36">
        <f t="shared" si="17"/>
        <v>0</v>
      </c>
      <c r="AT19" s="544">
        <f>IF(PF!R15&gt;0,(CA19),0)</f>
        <v>0</v>
      </c>
      <c r="AU19" s="36">
        <f t="shared" si="18"/>
        <v>0</v>
      </c>
      <c r="AV19" s="545">
        <f t="shared" si="19"/>
        <v>0</v>
      </c>
      <c r="AW19" s="36"/>
      <c r="AX19" s="543">
        <f t="shared" si="20"/>
        <v>0</v>
      </c>
      <c r="AY19" s="36">
        <f t="shared" si="21"/>
        <v>0</v>
      </c>
      <c r="AZ19" s="544">
        <f t="shared" si="22"/>
        <v>0</v>
      </c>
      <c r="BA19" s="907">
        <f t="shared" si="23"/>
        <v>0</v>
      </c>
      <c r="BB19" s="951">
        <f>(BA19-AY19)*'E S'!$F$47</f>
        <v>0</v>
      </c>
      <c r="BC19" s="952"/>
      <c r="BD19" s="953">
        <f t="shared" si="38"/>
        <v>0</v>
      </c>
      <c r="BE19" s="954"/>
      <c r="BF19" s="953">
        <f t="shared" si="24"/>
        <v>0</v>
      </c>
      <c r="BG19" s="954">
        <f t="shared" si="25"/>
        <v>0</v>
      </c>
      <c r="BH19" s="952"/>
      <c r="BI19" s="952"/>
      <c r="BJ19" s="955"/>
      <c r="BK19" s="955">
        <v>1</v>
      </c>
      <c r="BL19" s="956">
        <f t="shared" si="26"/>
        <v>0</v>
      </c>
      <c r="BM19" s="955">
        <v>2</v>
      </c>
      <c r="BN19" s="956">
        <f t="shared" si="27"/>
        <v>0</v>
      </c>
      <c r="BO19" s="955">
        <v>3</v>
      </c>
      <c r="BP19" s="956">
        <f t="shared" si="28"/>
        <v>0</v>
      </c>
      <c r="BQ19" s="955">
        <v>4</v>
      </c>
      <c r="BR19" s="956">
        <f t="shared" si="39"/>
        <v>0</v>
      </c>
      <c r="BS19" s="955">
        <v>5</v>
      </c>
      <c r="BT19" s="956">
        <f t="shared" si="29"/>
        <v>0</v>
      </c>
      <c r="BU19" s="955"/>
      <c r="BV19" s="957">
        <f t="shared" si="30"/>
        <v>0</v>
      </c>
      <c r="BW19" s="957">
        <f t="shared" si="31"/>
        <v>0</v>
      </c>
      <c r="BX19" s="955">
        <f t="shared" si="32"/>
        <v>0</v>
      </c>
      <c r="BY19" s="958">
        <f t="shared" si="33"/>
        <v>0</v>
      </c>
      <c r="BZ19" s="959">
        <f t="shared" si="34"/>
        <v>0</v>
      </c>
      <c r="CA19" s="960">
        <f t="shared" si="35"/>
        <v>0</v>
      </c>
      <c r="CB19" s="960">
        <f t="shared" si="40"/>
        <v>0</v>
      </c>
      <c r="CC19" s="960">
        <f t="shared" si="36"/>
        <v>0</v>
      </c>
      <c r="CD19" s="954">
        <f t="shared" si="37"/>
        <v>0</v>
      </c>
      <c r="CE19" s="908"/>
      <c r="CF19" s="908"/>
      <c r="CG19" s="729"/>
      <c r="CH19" s="729"/>
      <c r="CI19" s="729"/>
      <c r="CJ19" s="729"/>
      <c r="CK19" s="729"/>
      <c r="CL19" s="729"/>
      <c r="CM19" s="729"/>
      <c r="CN19" s="729"/>
    </row>
    <row r="20" spans="1:92" s="3" customFormat="1" ht="12" hidden="1">
      <c r="A20" s="870">
        <v>10</v>
      </c>
      <c r="B20" s="71"/>
      <c r="C20" s="873"/>
      <c r="D20" s="71"/>
      <c r="F20" s="71"/>
      <c r="H20" s="73"/>
      <c r="I20" s="34" t="str">
        <f t="shared" si="0"/>
        <v>.</v>
      </c>
      <c r="J20" s="74"/>
      <c r="K20" s="76"/>
      <c r="L20" s="916"/>
      <c r="M20" s="57"/>
      <c r="N20" s="549">
        <f t="shared" si="1"/>
        <v>0</v>
      </c>
      <c r="O20" s="57"/>
      <c r="P20" s="71"/>
      <c r="Q20" s="77">
        <f t="shared" si="2"/>
        <v>0</v>
      </c>
      <c r="R20" s="78"/>
      <c r="S20" s="37">
        <f t="shared" si="3"/>
        <v>0</v>
      </c>
      <c r="T20" s="82"/>
      <c r="U20" s="83">
        <f t="shared" si="4"/>
        <v>0</v>
      </c>
      <c r="V20" s="84"/>
      <c r="W20" s="57"/>
      <c r="X20" s="85"/>
      <c r="Z20" s="542">
        <f t="shared" si="5"/>
        <v>0</v>
      </c>
      <c r="AA20" s="36">
        <f t="shared" si="6"/>
        <v>0</v>
      </c>
      <c r="AB20" s="550"/>
      <c r="AC20" s="551">
        <f t="shared" si="7"/>
        <v>0</v>
      </c>
      <c r="AD20" s="542">
        <f t="shared" si="8"/>
        <v>0</v>
      </c>
      <c r="AE20" s="551">
        <f t="shared" si="9"/>
        <v>0</v>
      </c>
      <c r="AF20" s="542">
        <f t="shared" si="10"/>
        <v>0</v>
      </c>
      <c r="AG20" s="36">
        <f t="shared" si="11"/>
        <v>0</v>
      </c>
      <c r="AH20" s="86"/>
      <c r="AI20" s="36"/>
      <c r="AJ20" s="542">
        <f t="shared" si="12"/>
        <v>0</v>
      </c>
      <c r="AK20" s="36">
        <f t="shared" si="13"/>
        <v>0</v>
      </c>
      <c r="AL20" s="831"/>
      <c r="AM20" s="36">
        <f t="shared" si="14"/>
        <v>0</v>
      </c>
      <c r="AN20" s="86"/>
      <c r="AO20" s="34" t="str">
        <f t="shared" si="15"/>
        <v>.</v>
      </c>
      <c r="AP20" s="86"/>
      <c r="AQ20" s="36"/>
      <c r="AR20" s="544">
        <f t="shared" si="16"/>
        <v>0</v>
      </c>
      <c r="AS20" s="36">
        <f t="shared" si="17"/>
        <v>0</v>
      </c>
      <c r="AT20" s="544">
        <f>IF(PF!R16&gt;0,(CA20),0)</f>
        <v>0</v>
      </c>
      <c r="AU20" s="36">
        <f t="shared" si="18"/>
        <v>0</v>
      </c>
      <c r="AV20" s="545">
        <f t="shared" si="19"/>
        <v>0</v>
      </c>
      <c r="AW20" s="36"/>
      <c r="AX20" s="543">
        <f t="shared" si="20"/>
        <v>0</v>
      </c>
      <c r="AY20" s="36">
        <f t="shared" si="21"/>
        <v>0</v>
      </c>
      <c r="AZ20" s="544">
        <f t="shared" si="22"/>
        <v>0</v>
      </c>
      <c r="BA20" s="907">
        <f t="shared" si="23"/>
        <v>0</v>
      </c>
      <c r="BB20" s="951">
        <f>(BA20-AY20)*'E S'!$F$47</f>
        <v>0</v>
      </c>
      <c r="BC20" s="952"/>
      <c r="BD20" s="953">
        <f t="shared" si="38"/>
        <v>0</v>
      </c>
      <c r="BE20" s="954"/>
      <c r="BF20" s="953">
        <f t="shared" si="24"/>
        <v>0</v>
      </c>
      <c r="BG20" s="954">
        <f t="shared" si="25"/>
        <v>0</v>
      </c>
      <c r="BH20" s="952"/>
      <c r="BI20" s="952"/>
      <c r="BJ20" s="955"/>
      <c r="BK20" s="955">
        <v>1</v>
      </c>
      <c r="BL20" s="956">
        <f t="shared" si="26"/>
        <v>0</v>
      </c>
      <c r="BM20" s="955">
        <v>2</v>
      </c>
      <c r="BN20" s="956">
        <f t="shared" si="27"/>
        <v>0</v>
      </c>
      <c r="BO20" s="955">
        <v>3</v>
      </c>
      <c r="BP20" s="956">
        <f t="shared" si="28"/>
        <v>0</v>
      </c>
      <c r="BQ20" s="955">
        <v>4</v>
      </c>
      <c r="BR20" s="956">
        <f t="shared" si="39"/>
        <v>0</v>
      </c>
      <c r="BS20" s="955">
        <v>5</v>
      </c>
      <c r="BT20" s="956">
        <f t="shared" si="29"/>
        <v>0</v>
      </c>
      <c r="BU20" s="955"/>
      <c r="BV20" s="957">
        <f t="shared" si="30"/>
        <v>0</v>
      </c>
      <c r="BW20" s="957">
        <f t="shared" si="31"/>
        <v>0</v>
      </c>
      <c r="BX20" s="955">
        <f t="shared" si="32"/>
        <v>0</v>
      </c>
      <c r="BY20" s="958">
        <f t="shared" si="33"/>
        <v>0</v>
      </c>
      <c r="BZ20" s="959">
        <f t="shared" si="34"/>
        <v>0</v>
      </c>
      <c r="CA20" s="960">
        <f t="shared" si="35"/>
        <v>0</v>
      </c>
      <c r="CB20" s="960">
        <f t="shared" si="40"/>
        <v>0</v>
      </c>
      <c r="CC20" s="960">
        <f t="shared" si="36"/>
        <v>0</v>
      </c>
      <c r="CD20" s="954">
        <f t="shared" si="37"/>
        <v>0</v>
      </c>
      <c r="CE20" s="908"/>
      <c r="CF20" s="908"/>
      <c r="CG20" s="729"/>
      <c r="CH20" s="729"/>
      <c r="CI20" s="729"/>
      <c r="CJ20" s="729"/>
      <c r="CK20" s="729"/>
      <c r="CL20" s="729"/>
      <c r="CM20" s="729"/>
      <c r="CN20" s="729"/>
    </row>
    <row r="21" spans="1:92" s="3" customFormat="1" ht="12" hidden="1">
      <c r="A21" s="870">
        <v>11</v>
      </c>
      <c r="B21" s="71"/>
      <c r="C21" s="873"/>
      <c r="D21" s="71"/>
      <c r="F21" s="71"/>
      <c r="H21" s="74"/>
      <c r="I21" s="34" t="str">
        <f t="shared" si="0"/>
        <v>.</v>
      </c>
      <c r="J21" s="74"/>
      <c r="K21" s="76"/>
      <c r="L21" s="916"/>
      <c r="M21" s="57"/>
      <c r="N21" s="549">
        <f t="shared" si="1"/>
        <v>0</v>
      </c>
      <c r="O21" s="57"/>
      <c r="P21" s="71"/>
      <c r="Q21" s="77">
        <f t="shared" si="2"/>
        <v>0</v>
      </c>
      <c r="R21" s="78"/>
      <c r="S21" s="37">
        <f t="shared" si="3"/>
        <v>0</v>
      </c>
      <c r="T21" s="82"/>
      <c r="U21" s="83">
        <f t="shared" si="4"/>
        <v>0</v>
      </c>
      <c r="V21" s="84"/>
      <c r="W21" s="57"/>
      <c r="X21" s="85"/>
      <c r="Z21" s="542">
        <f t="shared" si="5"/>
        <v>0</v>
      </c>
      <c r="AA21" s="36">
        <f t="shared" si="6"/>
        <v>0</v>
      </c>
      <c r="AB21" s="550"/>
      <c r="AC21" s="551">
        <f t="shared" si="7"/>
        <v>0</v>
      </c>
      <c r="AD21" s="542">
        <f t="shared" si="8"/>
        <v>0</v>
      </c>
      <c r="AE21" s="551">
        <f t="shared" si="9"/>
        <v>0</v>
      </c>
      <c r="AF21" s="542">
        <f t="shared" si="10"/>
        <v>0</v>
      </c>
      <c r="AG21" s="36">
        <f t="shared" si="11"/>
        <v>0</v>
      </c>
      <c r="AH21" s="86"/>
      <c r="AI21" s="36"/>
      <c r="AJ21" s="542">
        <f t="shared" si="12"/>
        <v>0</v>
      </c>
      <c r="AK21" s="36">
        <f t="shared" si="13"/>
        <v>0</v>
      </c>
      <c r="AL21" s="831"/>
      <c r="AM21" s="36">
        <f t="shared" si="14"/>
        <v>0</v>
      </c>
      <c r="AN21" s="86"/>
      <c r="AO21" s="34" t="str">
        <f t="shared" si="15"/>
        <v>.</v>
      </c>
      <c r="AP21" s="86"/>
      <c r="AQ21" s="36"/>
      <c r="AR21" s="544">
        <f t="shared" si="16"/>
        <v>0</v>
      </c>
      <c r="AS21" s="36">
        <f t="shared" si="17"/>
        <v>0</v>
      </c>
      <c r="AT21" s="544">
        <f>IF(PF!R17&gt;0,(CA21),0)</f>
        <v>0</v>
      </c>
      <c r="AU21" s="36">
        <f t="shared" si="18"/>
        <v>0</v>
      </c>
      <c r="AV21" s="545">
        <f t="shared" si="19"/>
        <v>0</v>
      </c>
      <c r="AW21" s="36"/>
      <c r="AX21" s="543">
        <f t="shared" si="20"/>
        <v>0</v>
      </c>
      <c r="AY21" s="36">
        <f t="shared" si="21"/>
        <v>0</v>
      </c>
      <c r="AZ21" s="544">
        <f t="shared" si="22"/>
        <v>0</v>
      </c>
      <c r="BA21" s="907">
        <f t="shared" si="23"/>
        <v>0</v>
      </c>
      <c r="BB21" s="951">
        <f>(BA21-AY21)*'E S'!$F$47</f>
        <v>0</v>
      </c>
      <c r="BC21" s="952"/>
      <c r="BD21" s="953">
        <f t="shared" si="38"/>
        <v>0</v>
      </c>
      <c r="BE21" s="954"/>
      <c r="BF21" s="953">
        <f t="shared" si="24"/>
        <v>0</v>
      </c>
      <c r="BG21" s="954">
        <f t="shared" si="25"/>
        <v>0</v>
      </c>
      <c r="BH21" s="952"/>
      <c r="BI21" s="952"/>
      <c r="BJ21" s="955"/>
      <c r="BK21" s="955">
        <v>1</v>
      </c>
      <c r="BL21" s="956">
        <f t="shared" si="26"/>
        <v>0</v>
      </c>
      <c r="BM21" s="955">
        <v>2</v>
      </c>
      <c r="BN21" s="956">
        <f t="shared" si="27"/>
        <v>0</v>
      </c>
      <c r="BO21" s="955">
        <v>3</v>
      </c>
      <c r="BP21" s="956">
        <f t="shared" si="28"/>
        <v>0</v>
      </c>
      <c r="BQ21" s="955">
        <v>4</v>
      </c>
      <c r="BR21" s="956">
        <f t="shared" si="39"/>
        <v>0</v>
      </c>
      <c r="BS21" s="955">
        <v>5</v>
      </c>
      <c r="BT21" s="956">
        <f t="shared" si="29"/>
        <v>0</v>
      </c>
      <c r="BU21" s="955"/>
      <c r="BV21" s="957">
        <f t="shared" si="30"/>
        <v>0</v>
      </c>
      <c r="BW21" s="957">
        <f t="shared" si="31"/>
        <v>0</v>
      </c>
      <c r="BX21" s="955">
        <f t="shared" si="32"/>
        <v>0</v>
      </c>
      <c r="BY21" s="958">
        <f t="shared" si="33"/>
        <v>0</v>
      </c>
      <c r="BZ21" s="959">
        <f t="shared" si="34"/>
        <v>0</v>
      </c>
      <c r="CA21" s="960">
        <f t="shared" si="35"/>
        <v>0</v>
      </c>
      <c r="CB21" s="960">
        <f t="shared" si="40"/>
        <v>0</v>
      </c>
      <c r="CC21" s="960">
        <f t="shared" si="36"/>
        <v>0</v>
      </c>
      <c r="CD21" s="954">
        <f t="shared" si="37"/>
        <v>0</v>
      </c>
      <c r="CE21" s="908"/>
      <c r="CF21" s="908"/>
      <c r="CG21" s="729"/>
      <c r="CH21" s="729"/>
      <c r="CI21" s="729"/>
      <c r="CJ21" s="729"/>
      <c r="CK21" s="729"/>
      <c r="CL21" s="729"/>
      <c r="CM21" s="729"/>
      <c r="CN21" s="729"/>
    </row>
    <row r="22" spans="1:92" s="3" customFormat="1" ht="12" hidden="1">
      <c r="A22" s="870">
        <v>12</v>
      </c>
      <c r="B22" s="71"/>
      <c r="C22" s="873"/>
      <c r="D22" s="71"/>
      <c r="F22" s="71"/>
      <c r="H22" s="74"/>
      <c r="I22" s="34" t="str">
        <f t="shared" si="0"/>
        <v>.</v>
      </c>
      <c r="J22" s="74"/>
      <c r="K22" s="76"/>
      <c r="L22" s="916"/>
      <c r="M22" s="57"/>
      <c r="N22" s="549">
        <f t="shared" si="1"/>
        <v>0</v>
      </c>
      <c r="O22" s="57"/>
      <c r="P22" s="71"/>
      <c r="Q22" s="77">
        <f t="shared" si="2"/>
        <v>0</v>
      </c>
      <c r="R22" s="78"/>
      <c r="S22" s="37">
        <f t="shared" si="3"/>
        <v>0</v>
      </c>
      <c r="T22" s="82"/>
      <c r="U22" s="83">
        <f t="shared" si="4"/>
        <v>0</v>
      </c>
      <c r="V22" s="84"/>
      <c r="W22" s="57"/>
      <c r="X22" s="85"/>
      <c r="Z22" s="542">
        <f t="shared" si="5"/>
        <v>0</v>
      </c>
      <c r="AA22" s="36">
        <f t="shared" si="6"/>
        <v>0</v>
      </c>
      <c r="AB22" s="550"/>
      <c r="AC22" s="551">
        <f t="shared" si="7"/>
        <v>0</v>
      </c>
      <c r="AD22" s="542">
        <f t="shared" si="8"/>
        <v>0</v>
      </c>
      <c r="AE22" s="551">
        <f t="shared" si="9"/>
        <v>0</v>
      </c>
      <c r="AF22" s="542">
        <f t="shared" si="10"/>
        <v>0</v>
      </c>
      <c r="AG22" s="36">
        <f t="shared" si="11"/>
        <v>0</v>
      </c>
      <c r="AH22" s="86"/>
      <c r="AI22" s="36"/>
      <c r="AJ22" s="542">
        <f t="shared" si="12"/>
        <v>0</v>
      </c>
      <c r="AK22" s="36">
        <f t="shared" si="13"/>
        <v>0</v>
      </c>
      <c r="AL22" s="831"/>
      <c r="AM22" s="36">
        <f t="shared" si="14"/>
        <v>0</v>
      </c>
      <c r="AN22" s="86"/>
      <c r="AO22" s="34" t="str">
        <f t="shared" si="15"/>
        <v>.</v>
      </c>
      <c r="AP22" s="86"/>
      <c r="AQ22" s="36"/>
      <c r="AR22" s="544">
        <f t="shared" si="16"/>
        <v>0</v>
      </c>
      <c r="AS22" s="36">
        <f t="shared" si="17"/>
        <v>0</v>
      </c>
      <c r="AT22" s="544">
        <f>IF(PF!R18&gt;0,(CA22),0)</f>
        <v>0</v>
      </c>
      <c r="AU22" s="36">
        <f t="shared" si="18"/>
        <v>0</v>
      </c>
      <c r="AV22" s="545">
        <f t="shared" si="19"/>
        <v>0</v>
      </c>
      <c r="AW22" s="36"/>
      <c r="AX22" s="543">
        <f t="shared" si="20"/>
        <v>0</v>
      </c>
      <c r="AY22" s="36">
        <f t="shared" si="21"/>
        <v>0</v>
      </c>
      <c r="AZ22" s="544">
        <f t="shared" si="22"/>
        <v>0</v>
      </c>
      <c r="BA22" s="907">
        <f t="shared" si="23"/>
        <v>0</v>
      </c>
      <c r="BB22" s="951">
        <f>(BA22-AY22)*'E S'!$F$47</f>
        <v>0</v>
      </c>
      <c r="BC22" s="952"/>
      <c r="BD22" s="953">
        <f t="shared" si="38"/>
        <v>0</v>
      </c>
      <c r="BE22" s="954"/>
      <c r="BF22" s="953">
        <f t="shared" si="24"/>
        <v>0</v>
      </c>
      <c r="BG22" s="954">
        <f t="shared" si="25"/>
        <v>0</v>
      </c>
      <c r="BH22" s="952"/>
      <c r="BI22" s="952"/>
      <c r="BJ22" s="955"/>
      <c r="BK22" s="955">
        <v>1</v>
      </c>
      <c r="BL22" s="956">
        <f t="shared" si="26"/>
        <v>0</v>
      </c>
      <c r="BM22" s="955">
        <v>2</v>
      </c>
      <c r="BN22" s="956">
        <f t="shared" si="27"/>
        <v>0</v>
      </c>
      <c r="BO22" s="955">
        <v>3</v>
      </c>
      <c r="BP22" s="956">
        <f t="shared" si="28"/>
        <v>0</v>
      </c>
      <c r="BQ22" s="955">
        <v>4</v>
      </c>
      <c r="BR22" s="956">
        <f t="shared" si="39"/>
        <v>0</v>
      </c>
      <c r="BS22" s="955">
        <v>5</v>
      </c>
      <c r="BT22" s="956">
        <f t="shared" si="29"/>
        <v>0</v>
      </c>
      <c r="BU22" s="955"/>
      <c r="BV22" s="957">
        <f t="shared" si="30"/>
        <v>0</v>
      </c>
      <c r="BW22" s="957">
        <f t="shared" si="31"/>
        <v>0</v>
      </c>
      <c r="BX22" s="955">
        <f t="shared" si="32"/>
        <v>0</v>
      </c>
      <c r="BY22" s="958">
        <f t="shared" si="33"/>
        <v>0</v>
      </c>
      <c r="BZ22" s="959">
        <f t="shared" si="34"/>
        <v>0</v>
      </c>
      <c r="CA22" s="960">
        <f t="shared" si="35"/>
        <v>0</v>
      </c>
      <c r="CB22" s="960">
        <f t="shared" si="40"/>
        <v>0</v>
      </c>
      <c r="CC22" s="960">
        <f t="shared" si="36"/>
        <v>0</v>
      </c>
      <c r="CD22" s="954">
        <f t="shared" si="37"/>
        <v>0</v>
      </c>
      <c r="CE22" s="908"/>
      <c r="CF22" s="908"/>
      <c r="CG22" s="729"/>
      <c r="CH22" s="729"/>
      <c r="CI22" s="729"/>
      <c r="CJ22" s="729"/>
      <c r="CK22" s="729"/>
      <c r="CL22" s="729"/>
      <c r="CM22" s="729"/>
      <c r="CN22" s="729"/>
    </row>
    <row r="23" spans="1:92" s="3" customFormat="1" ht="12" hidden="1">
      <c r="A23" s="870">
        <v>13</v>
      </c>
      <c r="B23" s="71"/>
      <c r="C23" s="873"/>
      <c r="D23" s="71"/>
      <c r="F23" s="71"/>
      <c r="H23" s="74"/>
      <c r="I23" s="34" t="str">
        <f t="shared" si="0"/>
        <v>.</v>
      </c>
      <c r="J23" s="74"/>
      <c r="K23" s="76"/>
      <c r="L23" s="916"/>
      <c r="M23" s="57"/>
      <c r="N23" s="549">
        <f t="shared" si="1"/>
        <v>0</v>
      </c>
      <c r="O23" s="57"/>
      <c r="P23" s="71"/>
      <c r="Q23" s="77">
        <f t="shared" si="2"/>
        <v>0</v>
      </c>
      <c r="R23" s="78"/>
      <c r="S23" s="37">
        <f t="shared" si="3"/>
        <v>0</v>
      </c>
      <c r="T23" s="82"/>
      <c r="U23" s="83">
        <f t="shared" si="4"/>
        <v>0</v>
      </c>
      <c r="V23" s="84"/>
      <c r="W23" s="57"/>
      <c r="X23" s="85"/>
      <c r="Z23" s="542">
        <f t="shared" si="5"/>
        <v>0</v>
      </c>
      <c r="AA23" s="36">
        <f t="shared" si="6"/>
        <v>0</v>
      </c>
      <c r="AB23" s="550"/>
      <c r="AC23" s="551">
        <f t="shared" si="7"/>
        <v>0</v>
      </c>
      <c r="AD23" s="542">
        <f t="shared" si="8"/>
        <v>0</v>
      </c>
      <c r="AE23" s="551">
        <f t="shared" si="9"/>
        <v>0</v>
      </c>
      <c r="AF23" s="542">
        <f t="shared" si="10"/>
        <v>0</v>
      </c>
      <c r="AG23" s="36">
        <f t="shared" si="11"/>
        <v>0</v>
      </c>
      <c r="AH23" s="86"/>
      <c r="AI23" s="36"/>
      <c r="AJ23" s="542">
        <f t="shared" si="12"/>
        <v>0</v>
      </c>
      <c r="AK23" s="36">
        <f t="shared" si="13"/>
        <v>0</v>
      </c>
      <c r="AL23" s="831"/>
      <c r="AM23" s="36">
        <f t="shared" si="14"/>
        <v>0</v>
      </c>
      <c r="AN23" s="86"/>
      <c r="AO23" s="34" t="str">
        <f t="shared" si="15"/>
        <v>.</v>
      </c>
      <c r="AP23" s="86"/>
      <c r="AQ23" s="36"/>
      <c r="AR23" s="544">
        <f t="shared" si="16"/>
        <v>0</v>
      </c>
      <c r="AS23" s="36">
        <f t="shared" si="17"/>
        <v>0</v>
      </c>
      <c r="AT23" s="544">
        <f>IF(PF!R19&gt;0,(CA23),0)</f>
        <v>0</v>
      </c>
      <c r="AU23" s="36">
        <f t="shared" si="18"/>
        <v>0</v>
      </c>
      <c r="AV23" s="545">
        <f t="shared" si="19"/>
        <v>0</v>
      </c>
      <c r="AW23" s="36"/>
      <c r="AX23" s="543">
        <f t="shared" si="20"/>
        <v>0</v>
      </c>
      <c r="AY23" s="36">
        <f t="shared" si="21"/>
        <v>0</v>
      </c>
      <c r="AZ23" s="544">
        <f t="shared" si="22"/>
        <v>0</v>
      </c>
      <c r="BA23" s="907">
        <f t="shared" si="23"/>
        <v>0</v>
      </c>
      <c r="BB23" s="951">
        <f>(BA23-AY23)*'E S'!$F$47</f>
        <v>0</v>
      </c>
      <c r="BC23" s="952"/>
      <c r="BD23" s="953">
        <f t="shared" si="38"/>
        <v>0</v>
      </c>
      <c r="BE23" s="954"/>
      <c r="BF23" s="953">
        <f t="shared" si="24"/>
        <v>0</v>
      </c>
      <c r="BG23" s="954">
        <f t="shared" si="25"/>
        <v>0</v>
      </c>
      <c r="BH23" s="952"/>
      <c r="BI23" s="952"/>
      <c r="BJ23" s="955"/>
      <c r="BK23" s="955">
        <v>1</v>
      </c>
      <c r="BL23" s="956">
        <f t="shared" si="26"/>
        <v>0</v>
      </c>
      <c r="BM23" s="955">
        <v>2</v>
      </c>
      <c r="BN23" s="956">
        <f t="shared" si="27"/>
        <v>0</v>
      </c>
      <c r="BO23" s="955">
        <v>3</v>
      </c>
      <c r="BP23" s="956">
        <f t="shared" si="28"/>
        <v>0</v>
      </c>
      <c r="BQ23" s="955">
        <v>4</v>
      </c>
      <c r="BR23" s="956">
        <f t="shared" si="39"/>
        <v>0</v>
      </c>
      <c r="BS23" s="955">
        <v>5</v>
      </c>
      <c r="BT23" s="956">
        <f t="shared" si="29"/>
        <v>0</v>
      </c>
      <c r="BU23" s="955"/>
      <c r="BV23" s="957">
        <f t="shared" si="30"/>
        <v>0</v>
      </c>
      <c r="BW23" s="957">
        <f t="shared" si="31"/>
        <v>0</v>
      </c>
      <c r="BX23" s="955">
        <f t="shared" si="32"/>
        <v>0</v>
      </c>
      <c r="BY23" s="958">
        <f t="shared" si="33"/>
        <v>0</v>
      </c>
      <c r="BZ23" s="959">
        <f t="shared" si="34"/>
        <v>0</v>
      </c>
      <c r="CA23" s="960">
        <f t="shared" si="35"/>
        <v>0</v>
      </c>
      <c r="CB23" s="960">
        <f t="shared" si="40"/>
        <v>0</v>
      </c>
      <c r="CC23" s="960">
        <f t="shared" si="36"/>
        <v>0</v>
      </c>
      <c r="CD23" s="954">
        <f t="shared" si="37"/>
        <v>0</v>
      </c>
      <c r="CE23" s="908"/>
      <c r="CF23" s="908"/>
      <c r="CG23" s="729"/>
      <c r="CH23" s="729"/>
      <c r="CI23" s="729"/>
      <c r="CJ23" s="729"/>
      <c r="CK23" s="729"/>
      <c r="CL23" s="729"/>
      <c r="CM23" s="729"/>
      <c r="CN23" s="729"/>
    </row>
    <row r="24" spans="1:92" s="3" customFormat="1" ht="12" hidden="1">
      <c r="A24" s="870">
        <v>14</v>
      </c>
      <c r="B24" s="71"/>
      <c r="C24" s="873"/>
      <c r="D24" s="71"/>
      <c r="F24" s="71"/>
      <c r="H24" s="73"/>
      <c r="I24" s="34" t="str">
        <f t="shared" si="0"/>
        <v>.</v>
      </c>
      <c r="J24" s="74"/>
      <c r="K24" s="76"/>
      <c r="L24" s="916"/>
      <c r="M24" s="57"/>
      <c r="N24" s="549">
        <f t="shared" si="1"/>
        <v>0</v>
      </c>
      <c r="O24" s="57"/>
      <c r="P24" s="71"/>
      <c r="Q24" s="77">
        <f t="shared" si="2"/>
        <v>0</v>
      </c>
      <c r="R24" s="78"/>
      <c r="S24" s="37">
        <f t="shared" si="3"/>
        <v>0</v>
      </c>
      <c r="T24" s="82"/>
      <c r="U24" s="83">
        <f t="shared" si="4"/>
        <v>0</v>
      </c>
      <c r="V24" s="84"/>
      <c r="W24" s="57"/>
      <c r="X24" s="85"/>
      <c r="Z24" s="542">
        <f t="shared" si="5"/>
        <v>0</v>
      </c>
      <c r="AA24" s="36">
        <f t="shared" si="6"/>
        <v>0</v>
      </c>
      <c r="AB24" s="550"/>
      <c r="AC24" s="551">
        <f t="shared" si="7"/>
        <v>0</v>
      </c>
      <c r="AD24" s="542">
        <f t="shared" si="8"/>
        <v>0</v>
      </c>
      <c r="AE24" s="551">
        <f t="shared" si="9"/>
        <v>0</v>
      </c>
      <c r="AF24" s="542">
        <f t="shared" si="10"/>
        <v>0</v>
      </c>
      <c r="AG24" s="36">
        <f t="shared" si="11"/>
        <v>0</v>
      </c>
      <c r="AH24" s="86"/>
      <c r="AI24" s="36"/>
      <c r="AJ24" s="542">
        <f t="shared" si="12"/>
        <v>0</v>
      </c>
      <c r="AK24" s="36">
        <f t="shared" si="13"/>
        <v>0</v>
      </c>
      <c r="AL24" s="831"/>
      <c r="AM24" s="36">
        <f t="shared" si="14"/>
        <v>0</v>
      </c>
      <c r="AN24" s="86"/>
      <c r="AO24" s="34" t="str">
        <f t="shared" si="15"/>
        <v>.</v>
      </c>
      <c r="AP24" s="86"/>
      <c r="AQ24" s="36"/>
      <c r="AR24" s="544">
        <f t="shared" si="16"/>
        <v>0</v>
      </c>
      <c r="AS24" s="36">
        <f t="shared" si="17"/>
        <v>0</v>
      </c>
      <c r="AT24" s="544">
        <f>IF(PF!R20&gt;0,(CA24),0)</f>
        <v>0</v>
      </c>
      <c r="AU24" s="36">
        <f t="shared" si="18"/>
        <v>0</v>
      </c>
      <c r="AV24" s="545">
        <f t="shared" si="19"/>
        <v>0</v>
      </c>
      <c r="AW24" s="36"/>
      <c r="AX24" s="543">
        <f t="shared" si="20"/>
        <v>0</v>
      </c>
      <c r="AY24" s="36">
        <f t="shared" si="21"/>
        <v>0</v>
      </c>
      <c r="AZ24" s="544">
        <f t="shared" si="22"/>
        <v>0</v>
      </c>
      <c r="BA24" s="907">
        <f t="shared" si="23"/>
        <v>0</v>
      </c>
      <c r="BB24" s="951">
        <f>(BA24-AY24)*'E S'!$F$47</f>
        <v>0</v>
      </c>
      <c r="BC24" s="952"/>
      <c r="BD24" s="953">
        <f t="shared" si="38"/>
        <v>0</v>
      </c>
      <c r="BE24" s="954"/>
      <c r="BF24" s="953">
        <f t="shared" si="24"/>
        <v>0</v>
      </c>
      <c r="BG24" s="954">
        <f t="shared" si="25"/>
        <v>0</v>
      </c>
      <c r="BH24" s="952"/>
      <c r="BI24" s="952"/>
      <c r="BJ24" s="955"/>
      <c r="BK24" s="955">
        <v>1</v>
      </c>
      <c r="BL24" s="956">
        <f t="shared" si="26"/>
        <v>0</v>
      </c>
      <c r="BM24" s="955">
        <v>2</v>
      </c>
      <c r="BN24" s="956">
        <f t="shared" si="27"/>
        <v>0</v>
      </c>
      <c r="BO24" s="955">
        <v>3</v>
      </c>
      <c r="BP24" s="956">
        <f t="shared" si="28"/>
        <v>0</v>
      </c>
      <c r="BQ24" s="955">
        <v>4</v>
      </c>
      <c r="BR24" s="956">
        <f t="shared" si="39"/>
        <v>0</v>
      </c>
      <c r="BS24" s="955">
        <v>5</v>
      </c>
      <c r="BT24" s="956">
        <f t="shared" si="29"/>
        <v>0</v>
      </c>
      <c r="BU24" s="955"/>
      <c r="BV24" s="957">
        <f t="shared" si="30"/>
        <v>0</v>
      </c>
      <c r="BW24" s="957">
        <f t="shared" si="31"/>
        <v>0</v>
      </c>
      <c r="BX24" s="955">
        <f t="shared" si="32"/>
        <v>0</v>
      </c>
      <c r="BY24" s="958">
        <f t="shared" si="33"/>
        <v>0</v>
      </c>
      <c r="BZ24" s="959">
        <f t="shared" si="34"/>
        <v>0</v>
      </c>
      <c r="CA24" s="960">
        <f t="shared" si="35"/>
        <v>0</v>
      </c>
      <c r="CB24" s="960">
        <f t="shared" si="40"/>
        <v>0</v>
      </c>
      <c r="CC24" s="960">
        <f t="shared" si="36"/>
        <v>0</v>
      </c>
      <c r="CD24" s="954">
        <f t="shared" si="37"/>
        <v>0</v>
      </c>
      <c r="CE24" s="908"/>
      <c r="CF24" s="908"/>
      <c r="CG24" s="729"/>
      <c r="CH24" s="729"/>
      <c r="CI24" s="729"/>
      <c r="CJ24" s="729"/>
      <c r="CK24" s="729"/>
      <c r="CL24" s="729"/>
      <c r="CM24" s="729"/>
      <c r="CN24" s="729"/>
    </row>
    <row r="25" spans="1:92" s="3" customFormat="1" ht="12" hidden="1">
      <c r="A25" s="870">
        <v>15</v>
      </c>
      <c r="B25" s="71"/>
      <c r="C25" s="873"/>
      <c r="D25" s="71"/>
      <c r="F25" s="71"/>
      <c r="H25" s="73"/>
      <c r="I25" s="34" t="str">
        <f t="shared" si="0"/>
        <v>.</v>
      </c>
      <c r="J25" s="74"/>
      <c r="K25" s="76"/>
      <c r="L25" s="916"/>
      <c r="M25" s="57"/>
      <c r="N25" s="549">
        <f t="shared" si="1"/>
        <v>0</v>
      </c>
      <c r="O25" s="57"/>
      <c r="P25" s="80"/>
      <c r="Q25" s="77">
        <f t="shared" si="2"/>
        <v>0</v>
      </c>
      <c r="R25" s="78"/>
      <c r="S25" s="37">
        <f t="shared" si="3"/>
        <v>0</v>
      </c>
      <c r="T25" s="82"/>
      <c r="U25" s="83">
        <f t="shared" si="4"/>
        <v>0</v>
      </c>
      <c r="V25" s="84"/>
      <c r="W25" s="57"/>
      <c r="X25" s="85"/>
      <c r="Z25" s="542">
        <f t="shared" si="5"/>
        <v>0</v>
      </c>
      <c r="AA25" s="36">
        <f t="shared" si="6"/>
        <v>0</v>
      </c>
      <c r="AB25" s="550"/>
      <c r="AC25" s="551">
        <f t="shared" si="7"/>
        <v>0</v>
      </c>
      <c r="AD25" s="542">
        <f t="shared" si="8"/>
        <v>0</v>
      </c>
      <c r="AE25" s="551">
        <f t="shared" si="9"/>
        <v>0</v>
      </c>
      <c r="AF25" s="542">
        <f t="shared" si="10"/>
        <v>0</v>
      </c>
      <c r="AG25" s="36">
        <f t="shared" si="11"/>
        <v>0</v>
      </c>
      <c r="AH25" s="86"/>
      <c r="AI25" s="36"/>
      <c r="AJ25" s="542">
        <f t="shared" si="12"/>
        <v>0</v>
      </c>
      <c r="AK25" s="36">
        <f t="shared" si="13"/>
        <v>0</v>
      </c>
      <c r="AL25" s="831"/>
      <c r="AM25" s="36">
        <f t="shared" si="14"/>
        <v>0</v>
      </c>
      <c r="AN25" s="86"/>
      <c r="AO25" s="34" t="str">
        <f t="shared" si="15"/>
        <v>.</v>
      </c>
      <c r="AP25" s="86"/>
      <c r="AQ25" s="36"/>
      <c r="AR25" s="544">
        <f t="shared" si="16"/>
        <v>0</v>
      </c>
      <c r="AS25" s="36">
        <f t="shared" si="17"/>
        <v>0</v>
      </c>
      <c r="AT25" s="544">
        <f>IF(PF!R21&gt;0,(CA25),0)</f>
        <v>0</v>
      </c>
      <c r="AU25" s="36">
        <f t="shared" si="18"/>
        <v>0</v>
      </c>
      <c r="AV25" s="545">
        <f t="shared" si="19"/>
        <v>0</v>
      </c>
      <c r="AW25" s="36"/>
      <c r="AX25" s="543">
        <f t="shared" si="20"/>
        <v>0</v>
      </c>
      <c r="AY25" s="36">
        <f t="shared" si="21"/>
        <v>0</v>
      </c>
      <c r="AZ25" s="544">
        <f t="shared" si="22"/>
        <v>0</v>
      </c>
      <c r="BA25" s="907">
        <f t="shared" si="23"/>
        <v>0</v>
      </c>
      <c r="BB25" s="951">
        <f>(BA25-AY25)*'E S'!$F$47</f>
        <v>0</v>
      </c>
      <c r="BC25" s="952"/>
      <c r="BD25" s="953">
        <f t="shared" si="38"/>
        <v>0</v>
      </c>
      <c r="BE25" s="954"/>
      <c r="BF25" s="953">
        <f t="shared" si="24"/>
        <v>0</v>
      </c>
      <c r="BG25" s="954">
        <f t="shared" si="25"/>
        <v>0</v>
      </c>
      <c r="BH25" s="952"/>
      <c r="BI25" s="952"/>
      <c r="BJ25" s="955"/>
      <c r="BK25" s="955">
        <v>1</v>
      </c>
      <c r="BL25" s="956">
        <f t="shared" si="26"/>
        <v>0</v>
      </c>
      <c r="BM25" s="955">
        <v>2</v>
      </c>
      <c r="BN25" s="956">
        <f t="shared" si="27"/>
        <v>0</v>
      </c>
      <c r="BO25" s="955">
        <v>3</v>
      </c>
      <c r="BP25" s="956">
        <f t="shared" si="28"/>
        <v>0</v>
      </c>
      <c r="BQ25" s="955">
        <v>4</v>
      </c>
      <c r="BR25" s="956">
        <f t="shared" si="39"/>
        <v>0</v>
      </c>
      <c r="BS25" s="955">
        <v>5</v>
      </c>
      <c r="BT25" s="956">
        <f t="shared" si="29"/>
        <v>0</v>
      </c>
      <c r="BU25" s="955"/>
      <c r="BV25" s="957">
        <f t="shared" si="30"/>
        <v>0</v>
      </c>
      <c r="BW25" s="957">
        <f t="shared" si="31"/>
        <v>0</v>
      </c>
      <c r="BX25" s="955">
        <f t="shared" si="32"/>
        <v>0</v>
      </c>
      <c r="BY25" s="958">
        <f t="shared" si="33"/>
        <v>0</v>
      </c>
      <c r="BZ25" s="959">
        <f t="shared" si="34"/>
        <v>0</v>
      </c>
      <c r="CA25" s="960">
        <f t="shared" si="35"/>
        <v>0</v>
      </c>
      <c r="CB25" s="960">
        <f t="shared" si="40"/>
        <v>0</v>
      </c>
      <c r="CC25" s="960">
        <f t="shared" si="36"/>
        <v>0</v>
      </c>
      <c r="CD25" s="954">
        <f t="shared" si="37"/>
        <v>0</v>
      </c>
      <c r="CE25" s="908"/>
      <c r="CF25" s="908"/>
      <c r="CG25" s="729"/>
      <c r="CH25" s="729"/>
      <c r="CI25" s="729"/>
      <c r="CJ25" s="729"/>
      <c r="CK25" s="729"/>
      <c r="CL25" s="729"/>
      <c r="CM25" s="729"/>
      <c r="CN25" s="729"/>
    </row>
    <row r="26" spans="1:92" s="3" customFormat="1" ht="12" hidden="1">
      <c r="A26" s="870">
        <v>16</v>
      </c>
      <c r="B26" s="71"/>
      <c r="C26" s="873"/>
      <c r="D26" s="71"/>
      <c r="F26" s="71"/>
      <c r="H26" s="73"/>
      <c r="I26" s="34" t="str">
        <f t="shared" si="0"/>
        <v>.</v>
      </c>
      <c r="J26" s="74"/>
      <c r="K26" s="76"/>
      <c r="L26" s="916"/>
      <c r="M26" s="57"/>
      <c r="N26" s="549">
        <f t="shared" si="1"/>
        <v>0</v>
      </c>
      <c r="O26" s="57"/>
      <c r="P26" s="71"/>
      <c r="Q26" s="77">
        <f t="shared" si="2"/>
        <v>0</v>
      </c>
      <c r="R26" s="78"/>
      <c r="S26" s="37">
        <f t="shared" si="3"/>
        <v>0</v>
      </c>
      <c r="T26" s="82"/>
      <c r="U26" s="83">
        <f t="shared" si="4"/>
        <v>0</v>
      </c>
      <c r="V26" s="84"/>
      <c r="W26" s="57"/>
      <c r="X26" s="85"/>
      <c r="Z26" s="542">
        <f t="shared" si="5"/>
        <v>0</v>
      </c>
      <c r="AA26" s="36">
        <f t="shared" si="6"/>
        <v>0</v>
      </c>
      <c r="AB26" s="550"/>
      <c r="AC26" s="551">
        <f t="shared" si="7"/>
        <v>0</v>
      </c>
      <c r="AD26" s="542">
        <f t="shared" si="8"/>
        <v>0</v>
      </c>
      <c r="AE26" s="551">
        <f t="shared" si="9"/>
        <v>0</v>
      </c>
      <c r="AF26" s="542">
        <f t="shared" si="10"/>
        <v>0</v>
      </c>
      <c r="AG26" s="36">
        <f t="shared" si="11"/>
        <v>0</v>
      </c>
      <c r="AH26" s="86"/>
      <c r="AI26" s="36"/>
      <c r="AJ26" s="542">
        <f t="shared" si="12"/>
        <v>0</v>
      </c>
      <c r="AK26" s="36">
        <f t="shared" si="13"/>
        <v>0</v>
      </c>
      <c r="AL26" s="831"/>
      <c r="AM26" s="36">
        <f t="shared" si="14"/>
        <v>0</v>
      </c>
      <c r="AN26" s="86"/>
      <c r="AO26" s="34" t="str">
        <f t="shared" si="15"/>
        <v>.</v>
      </c>
      <c r="AP26" s="86"/>
      <c r="AQ26" s="36"/>
      <c r="AR26" s="544">
        <f t="shared" si="16"/>
        <v>0</v>
      </c>
      <c r="AS26" s="36">
        <f t="shared" si="17"/>
        <v>0</v>
      </c>
      <c r="AT26" s="544">
        <f>IF(PF!R22&gt;0,(CA26),0)</f>
        <v>0</v>
      </c>
      <c r="AU26" s="36">
        <f t="shared" si="18"/>
        <v>0</v>
      </c>
      <c r="AV26" s="545">
        <f t="shared" si="19"/>
        <v>0</v>
      </c>
      <c r="AW26" s="36"/>
      <c r="AX26" s="543">
        <f t="shared" si="20"/>
        <v>0</v>
      </c>
      <c r="AY26" s="36">
        <f t="shared" si="21"/>
        <v>0</v>
      </c>
      <c r="AZ26" s="544">
        <f t="shared" si="22"/>
        <v>0</v>
      </c>
      <c r="BA26" s="907">
        <f t="shared" si="23"/>
        <v>0</v>
      </c>
      <c r="BB26" s="951">
        <f>(BA26-AY26)*'E S'!$F$47</f>
        <v>0</v>
      </c>
      <c r="BC26" s="952"/>
      <c r="BD26" s="953">
        <f t="shared" si="38"/>
        <v>0</v>
      </c>
      <c r="BE26" s="954"/>
      <c r="BF26" s="953">
        <f t="shared" si="24"/>
        <v>0</v>
      </c>
      <c r="BG26" s="954">
        <f t="shared" si="25"/>
        <v>0</v>
      </c>
      <c r="BH26" s="952"/>
      <c r="BI26" s="952"/>
      <c r="BJ26" s="955"/>
      <c r="BK26" s="955">
        <v>1</v>
      </c>
      <c r="BL26" s="956">
        <f t="shared" si="26"/>
        <v>0</v>
      </c>
      <c r="BM26" s="955">
        <v>2</v>
      </c>
      <c r="BN26" s="956">
        <f t="shared" si="27"/>
        <v>0</v>
      </c>
      <c r="BO26" s="955">
        <v>3</v>
      </c>
      <c r="BP26" s="956">
        <f t="shared" si="28"/>
        <v>0</v>
      </c>
      <c r="BQ26" s="955">
        <v>4</v>
      </c>
      <c r="BR26" s="956">
        <f t="shared" si="39"/>
        <v>0</v>
      </c>
      <c r="BS26" s="955">
        <v>5</v>
      </c>
      <c r="BT26" s="956">
        <f t="shared" si="29"/>
        <v>0</v>
      </c>
      <c r="BU26" s="955"/>
      <c r="BV26" s="957">
        <f t="shared" si="30"/>
        <v>0</v>
      </c>
      <c r="BW26" s="957">
        <f t="shared" si="31"/>
        <v>0</v>
      </c>
      <c r="BX26" s="955">
        <f t="shared" si="32"/>
        <v>0</v>
      </c>
      <c r="BY26" s="958">
        <f t="shared" si="33"/>
        <v>0</v>
      </c>
      <c r="BZ26" s="959">
        <f t="shared" si="34"/>
        <v>0</v>
      </c>
      <c r="CA26" s="960">
        <f t="shared" si="35"/>
        <v>0</v>
      </c>
      <c r="CB26" s="960">
        <f t="shared" si="40"/>
        <v>0</v>
      </c>
      <c r="CC26" s="960">
        <f t="shared" si="36"/>
        <v>0</v>
      </c>
      <c r="CD26" s="954">
        <f t="shared" si="37"/>
        <v>0</v>
      </c>
      <c r="CE26" s="908"/>
      <c r="CF26" s="908"/>
      <c r="CG26" s="729"/>
      <c r="CH26" s="729"/>
      <c r="CI26" s="729"/>
      <c r="CJ26" s="729"/>
      <c r="CK26" s="729"/>
      <c r="CL26" s="729"/>
      <c r="CM26" s="729"/>
      <c r="CN26" s="729"/>
    </row>
    <row r="27" spans="1:92" s="3" customFormat="1" ht="12" hidden="1">
      <c r="A27" s="870">
        <v>17</v>
      </c>
      <c r="B27" s="71"/>
      <c r="C27" s="873"/>
      <c r="D27" s="71"/>
      <c r="F27" s="71"/>
      <c r="H27" s="74"/>
      <c r="I27" s="34" t="str">
        <f t="shared" si="0"/>
        <v>.</v>
      </c>
      <c r="J27" s="74"/>
      <c r="K27" s="76"/>
      <c r="L27" s="916"/>
      <c r="M27" s="57"/>
      <c r="N27" s="549">
        <f t="shared" si="1"/>
        <v>0</v>
      </c>
      <c r="O27" s="57"/>
      <c r="P27" s="71"/>
      <c r="Q27" s="77">
        <f t="shared" si="2"/>
        <v>0</v>
      </c>
      <c r="R27" s="78"/>
      <c r="S27" s="37">
        <f t="shared" si="3"/>
        <v>0</v>
      </c>
      <c r="T27" s="82"/>
      <c r="U27" s="83">
        <f t="shared" si="4"/>
        <v>0</v>
      </c>
      <c r="V27" s="84"/>
      <c r="W27" s="57"/>
      <c r="X27" s="85"/>
      <c r="Z27" s="542">
        <f t="shared" si="5"/>
        <v>0</v>
      </c>
      <c r="AA27" s="36">
        <f t="shared" si="6"/>
        <v>0</v>
      </c>
      <c r="AB27" s="550"/>
      <c r="AC27" s="551">
        <f t="shared" si="7"/>
        <v>0</v>
      </c>
      <c r="AD27" s="542">
        <f t="shared" si="8"/>
        <v>0</v>
      </c>
      <c r="AE27" s="551">
        <f t="shared" si="9"/>
        <v>0</v>
      </c>
      <c r="AF27" s="542">
        <f t="shared" si="10"/>
        <v>0</v>
      </c>
      <c r="AG27" s="36">
        <f t="shared" si="11"/>
        <v>0</v>
      </c>
      <c r="AH27" s="86"/>
      <c r="AI27" s="36"/>
      <c r="AJ27" s="542">
        <f t="shared" si="12"/>
        <v>0</v>
      </c>
      <c r="AK27" s="36">
        <f t="shared" si="13"/>
        <v>0</v>
      </c>
      <c r="AL27" s="831"/>
      <c r="AM27" s="36">
        <f t="shared" si="14"/>
        <v>0</v>
      </c>
      <c r="AN27" s="86"/>
      <c r="AO27" s="34" t="str">
        <f t="shared" si="15"/>
        <v>.</v>
      </c>
      <c r="AP27" s="86"/>
      <c r="AQ27" s="36"/>
      <c r="AR27" s="544">
        <f t="shared" si="16"/>
        <v>0</v>
      </c>
      <c r="AS27" s="36">
        <f t="shared" si="17"/>
        <v>0</v>
      </c>
      <c r="AT27" s="544">
        <f>IF(PF!R23&gt;0,(CA27),0)</f>
        <v>0</v>
      </c>
      <c r="AU27" s="36">
        <f t="shared" si="18"/>
        <v>0</v>
      </c>
      <c r="AV27" s="545">
        <f t="shared" si="19"/>
        <v>0</v>
      </c>
      <c r="AW27" s="36"/>
      <c r="AX27" s="543">
        <f t="shared" si="20"/>
        <v>0</v>
      </c>
      <c r="AY27" s="36">
        <f t="shared" si="21"/>
        <v>0</v>
      </c>
      <c r="AZ27" s="544">
        <f t="shared" si="22"/>
        <v>0</v>
      </c>
      <c r="BA27" s="907">
        <f t="shared" si="23"/>
        <v>0</v>
      </c>
      <c r="BB27" s="951">
        <f>(BA27-AY27)*'E S'!$F$47</f>
        <v>0</v>
      </c>
      <c r="BC27" s="952"/>
      <c r="BD27" s="953">
        <f t="shared" si="38"/>
        <v>0</v>
      </c>
      <c r="BE27" s="954"/>
      <c r="BF27" s="953">
        <f t="shared" si="24"/>
        <v>0</v>
      </c>
      <c r="BG27" s="954">
        <f t="shared" si="25"/>
        <v>0</v>
      </c>
      <c r="BH27" s="952"/>
      <c r="BI27" s="952"/>
      <c r="BJ27" s="955"/>
      <c r="BK27" s="955">
        <v>1</v>
      </c>
      <c r="BL27" s="956">
        <f t="shared" si="26"/>
        <v>0</v>
      </c>
      <c r="BM27" s="955">
        <v>2</v>
      </c>
      <c r="BN27" s="956">
        <f t="shared" si="27"/>
        <v>0</v>
      </c>
      <c r="BO27" s="955">
        <v>3</v>
      </c>
      <c r="BP27" s="956">
        <f t="shared" si="28"/>
        <v>0</v>
      </c>
      <c r="BQ27" s="955">
        <v>4</v>
      </c>
      <c r="BR27" s="956">
        <f t="shared" si="39"/>
        <v>0</v>
      </c>
      <c r="BS27" s="955">
        <v>5</v>
      </c>
      <c r="BT27" s="956">
        <f t="shared" si="29"/>
        <v>0</v>
      </c>
      <c r="BU27" s="955"/>
      <c r="BV27" s="957">
        <f t="shared" si="30"/>
        <v>0</v>
      </c>
      <c r="BW27" s="957">
        <f t="shared" si="31"/>
        <v>0</v>
      </c>
      <c r="BX27" s="955">
        <f t="shared" si="32"/>
        <v>0</v>
      </c>
      <c r="BY27" s="958">
        <f t="shared" si="33"/>
        <v>0</v>
      </c>
      <c r="BZ27" s="959">
        <f t="shared" si="34"/>
        <v>0</v>
      </c>
      <c r="CA27" s="960">
        <f t="shared" si="35"/>
        <v>0</v>
      </c>
      <c r="CB27" s="960">
        <f t="shared" si="40"/>
        <v>0</v>
      </c>
      <c r="CC27" s="960">
        <f t="shared" si="36"/>
        <v>0</v>
      </c>
      <c r="CD27" s="954">
        <f t="shared" si="37"/>
        <v>0</v>
      </c>
      <c r="CE27" s="908"/>
      <c r="CF27" s="908"/>
      <c r="CG27" s="729"/>
      <c r="CH27" s="729"/>
      <c r="CI27" s="729"/>
      <c r="CJ27" s="729"/>
      <c r="CK27" s="729"/>
      <c r="CL27" s="729"/>
      <c r="CM27" s="729"/>
      <c r="CN27" s="729"/>
    </row>
    <row r="28" spans="1:92" s="3" customFormat="1" ht="12" hidden="1">
      <c r="A28" s="870">
        <v>18</v>
      </c>
      <c r="B28" s="71"/>
      <c r="C28" s="873"/>
      <c r="D28" s="71"/>
      <c r="F28" s="71"/>
      <c r="H28" s="74"/>
      <c r="I28" s="34" t="str">
        <f t="shared" si="0"/>
        <v>.</v>
      </c>
      <c r="J28" s="74"/>
      <c r="K28" s="76"/>
      <c r="L28" s="916"/>
      <c r="M28" s="57"/>
      <c r="N28" s="549">
        <f t="shared" si="1"/>
        <v>0</v>
      </c>
      <c r="O28" s="57"/>
      <c r="P28" s="71"/>
      <c r="Q28" s="77">
        <f t="shared" si="2"/>
        <v>0</v>
      </c>
      <c r="R28" s="78"/>
      <c r="S28" s="37">
        <f t="shared" si="3"/>
        <v>0</v>
      </c>
      <c r="T28" s="82"/>
      <c r="U28" s="83">
        <f t="shared" si="4"/>
        <v>0</v>
      </c>
      <c r="V28" s="84"/>
      <c r="W28" s="57"/>
      <c r="X28" s="85"/>
      <c r="Z28" s="542">
        <f t="shared" si="5"/>
        <v>0</v>
      </c>
      <c r="AA28" s="36">
        <f t="shared" si="6"/>
        <v>0</v>
      </c>
      <c r="AB28" s="550"/>
      <c r="AC28" s="551">
        <f t="shared" si="7"/>
        <v>0</v>
      </c>
      <c r="AD28" s="542">
        <f t="shared" si="8"/>
        <v>0</v>
      </c>
      <c r="AE28" s="551">
        <f t="shared" si="9"/>
        <v>0</v>
      </c>
      <c r="AF28" s="542">
        <f t="shared" si="10"/>
        <v>0</v>
      </c>
      <c r="AG28" s="36">
        <f t="shared" si="11"/>
        <v>0</v>
      </c>
      <c r="AH28" s="86"/>
      <c r="AI28" s="36"/>
      <c r="AJ28" s="542">
        <f t="shared" si="12"/>
        <v>0</v>
      </c>
      <c r="AK28" s="36">
        <f t="shared" si="13"/>
        <v>0</v>
      </c>
      <c r="AL28" s="831"/>
      <c r="AM28" s="36">
        <f t="shared" si="14"/>
        <v>0</v>
      </c>
      <c r="AN28" s="86"/>
      <c r="AO28" s="34" t="str">
        <f t="shared" si="15"/>
        <v>.</v>
      </c>
      <c r="AP28" s="86"/>
      <c r="AQ28" s="36"/>
      <c r="AR28" s="544">
        <f t="shared" si="16"/>
        <v>0</v>
      </c>
      <c r="AS28" s="36">
        <f t="shared" si="17"/>
        <v>0</v>
      </c>
      <c r="AT28" s="544">
        <f>IF(PF!R24&gt;0,(CA28),0)</f>
        <v>0</v>
      </c>
      <c r="AU28" s="36">
        <f t="shared" si="18"/>
        <v>0</v>
      </c>
      <c r="AV28" s="545">
        <f t="shared" si="19"/>
        <v>0</v>
      </c>
      <c r="AW28" s="36"/>
      <c r="AX28" s="543">
        <f t="shared" si="20"/>
        <v>0</v>
      </c>
      <c r="AY28" s="36">
        <f t="shared" si="21"/>
        <v>0</v>
      </c>
      <c r="AZ28" s="544">
        <f t="shared" si="22"/>
        <v>0</v>
      </c>
      <c r="BA28" s="907">
        <f t="shared" si="23"/>
        <v>0</v>
      </c>
      <c r="BB28" s="951">
        <f>(BA28-AY28)*'E S'!$F$47</f>
        <v>0</v>
      </c>
      <c r="BC28" s="952"/>
      <c r="BD28" s="953">
        <f t="shared" si="38"/>
        <v>0</v>
      </c>
      <c r="BE28" s="954"/>
      <c r="BF28" s="953">
        <f t="shared" si="24"/>
        <v>0</v>
      </c>
      <c r="BG28" s="954">
        <f t="shared" si="25"/>
        <v>0</v>
      </c>
      <c r="BH28" s="952"/>
      <c r="BI28" s="952"/>
      <c r="BJ28" s="955"/>
      <c r="BK28" s="955">
        <v>1</v>
      </c>
      <c r="BL28" s="956">
        <f t="shared" si="26"/>
        <v>0</v>
      </c>
      <c r="BM28" s="955">
        <v>2</v>
      </c>
      <c r="BN28" s="956">
        <f t="shared" si="27"/>
        <v>0</v>
      </c>
      <c r="BO28" s="955">
        <v>3</v>
      </c>
      <c r="BP28" s="956">
        <f t="shared" si="28"/>
        <v>0</v>
      </c>
      <c r="BQ28" s="955">
        <v>4</v>
      </c>
      <c r="BR28" s="956">
        <f t="shared" si="39"/>
        <v>0</v>
      </c>
      <c r="BS28" s="955">
        <v>5</v>
      </c>
      <c r="BT28" s="956">
        <f t="shared" si="29"/>
        <v>0</v>
      </c>
      <c r="BU28" s="955"/>
      <c r="BV28" s="957">
        <f t="shared" si="30"/>
        <v>0</v>
      </c>
      <c r="BW28" s="957">
        <f t="shared" si="31"/>
        <v>0</v>
      </c>
      <c r="BX28" s="955">
        <f t="shared" si="32"/>
        <v>0</v>
      </c>
      <c r="BY28" s="958">
        <f t="shared" si="33"/>
        <v>0</v>
      </c>
      <c r="BZ28" s="959">
        <f t="shared" si="34"/>
        <v>0</v>
      </c>
      <c r="CA28" s="960">
        <f t="shared" si="35"/>
        <v>0</v>
      </c>
      <c r="CB28" s="960">
        <f t="shared" si="40"/>
        <v>0</v>
      </c>
      <c r="CC28" s="960">
        <f t="shared" si="36"/>
        <v>0</v>
      </c>
      <c r="CD28" s="954">
        <f t="shared" si="37"/>
        <v>0</v>
      </c>
      <c r="CE28" s="908"/>
      <c r="CF28" s="908"/>
      <c r="CG28" s="729"/>
      <c r="CH28" s="729"/>
      <c r="CI28" s="729"/>
      <c r="CJ28" s="729"/>
      <c r="CK28" s="729"/>
      <c r="CL28" s="729"/>
      <c r="CM28" s="729"/>
      <c r="CN28" s="729"/>
    </row>
    <row r="29" spans="1:92" s="3" customFormat="1" ht="12" hidden="1">
      <c r="A29" s="870">
        <v>19</v>
      </c>
      <c r="B29" s="71"/>
      <c r="C29" s="873"/>
      <c r="D29" s="71"/>
      <c r="F29" s="71"/>
      <c r="H29" s="74"/>
      <c r="I29" s="34" t="str">
        <f t="shared" si="0"/>
        <v>.</v>
      </c>
      <c r="J29" s="74"/>
      <c r="K29" s="76"/>
      <c r="L29" s="916"/>
      <c r="M29" s="57"/>
      <c r="N29" s="549">
        <f t="shared" si="1"/>
        <v>0</v>
      </c>
      <c r="O29" s="57"/>
      <c r="P29" s="71"/>
      <c r="Q29" s="77">
        <f t="shared" si="2"/>
        <v>0</v>
      </c>
      <c r="R29" s="78"/>
      <c r="S29" s="37">
        <f t="shared" si="3"/>
        <v>0</v>
      </c>
      <c r="T29" s="82"/>
      <c r="U29" s="83">
        <f t="shared" si="4"/>
        <v>0</v>
      </c>
      <c r="V29" s="84"/>
      <c r="W29" s="57"/>
      <c r="X29" s="85"/>
      <c r="Z29" s="542">
        <f t="shared" si="5"/>
        <v>0</v>
      </c>
      <c r="AA29" s="36">
        <f t="shared" si="6"/>
        <v>0</v>
      </c>
      <c r="AB29" s="550"/>
      <c r="AC29" s="551">
        <f t="shared" si="7"/>
        <v>0</v>
      </c>
      <c r="AD29" s="542">
        <f t="shared" si="8"/>
        <v>0</v>
      </c>
      <c r="AE29" s="551">
        <f t="shared" si="9"/>
        <v>0</v>
      </c>
      <c r="AF29" s="542">
        <f t="shared" si="10"/>
        <v>0</v>
      </c>
      <c r="AG29" s="36">
        <f t="shared" si="11"/>
        <v>0</v>
      </c>
      <c r="AH29" s="86"/>
      <c r="AI29" s="36"/>
      <c r="AJ29" s="542">
        <f t="shared" si="12"/>
        <v>0</v>
      </c>
      <c r="AK29" s="36">
        <f t="shared" si="13"/>
        <v>0</v>
      </c>
      <c r="AL29" s="831"/>
      <c r="AM29" s="36">
        <f t="shared" si="14"/>
        <v>0</v>
      </c>
      <c r="AN29" s="86"/>
      <c r="AO29" s="34" t="str">
        <f t="shared" si="15"/>
        <v>.</v>
      </c>
      <c r="AP29" s="86"/>
      <c r="AQ29" s="36"/>
      <c r="AR29" s="544">
        <f t="shared" si="16"/>
        <v>0</v>
      </c>
      <c r="AS29" s="36">
        <f t="shared" si="17"/>
        <v>0</v>
      </c>
      <c r="AT29" s="544">
        <f>IF(PF!R25&gt;0,(CA29),0)</f>
        <v>0</v>
      </c>
      <c r="AU29" s="36">
        <f t="shared" si="18"/>
        <v>0</v>
      </c>
      <c r="AV29" s="545">
        <f t="shared" si="19"/>
        <v>0</v>
      </c>
      <c r="AW29" s="36"/>
      <c r="AX29" s="543">
        <f t="shared" si="20"/>
        <v>0</v>
      </c>
      <c r="AY29" s="36">
        <f t="shared" si="21"/>
        <v>0</v>
      </c>
      <c r="AZ29" s="544">
        <f t="shared" si="22"/>
        <v>0</v>
      </c>
      <c r="BA29" s="907">
        <f t="shared" si="23"/>
        <v>0</v>
      </c>
      <c r="BB29" s="951">
        <f>(BA29-AY29)*'E S'!$F$47</f>
        <v>0</v>
      </c>
      <c r="BC29" s="952"/>
      <c r="BD29" s="953">
        <f t="shared" si="38"/>
        <v>0</v>
      </c>
      <c r="BE29" s="954"/>
      <c r="BF29" s="953">
        <f t="shared" si="24"/>
        <v>0</v>
      </c>
      <c r="BG29" s="954">
        <f t="shared" si="25"/>
        <v>0</v>
      </c>
      <c r="BH29" s="952"/>
      <c r="BI29" s="952"/>
      <c r="BJ29" s="955"/>
      <c r="BK29" s="955">
        <v>1</v>
      </c>
      <c r="BL29" s="956">
        <f t="shared" si="26"/>
        <v>0</v>
      </c>
      <c r="BM29" s="955">
        <v>2</v>
      </c>
      <c r="BN29" s="956">
        <f t="shared" si="27"/>
        <v>0</v>
      </c>
      <c r="BO29" s="955">
        <v>3</v>
      </c>
      <c r="BP29" s="956">
        <f t="shared" si="28"/>
        <v>0</v>
      </c>
      <c r="BQ29" s="955">
        <v>4</v>
      </c>
      <c r="BR29" s="956">
        <f t="shared" si="39"/>
        <v>0</v>
      </c>
      <c r="BS29" s="955">
        <v>5</v>
      </c>
      <c r="BT29" s="956">
        <f t="shared" si="29"/>
        <v>0</v>
      </c>
      <c r="BU29" s="955"/>
      <c r="BV29" s="957">
        <f t="shared" si="30"/>
        <v>0</v>
      </c>
      <c r="BW29" s="957">
        <f t="shared" si="31"/>
        <v>0</v>
      </c>
      <c r="BX29" s="955">
        <f t="shared" si="32"/>
        <v>0</v>
      </c>
      <c r="BY29" s="958">
        <f t="shared" si="33"/>
        <v>0</v>
      </c>
      <c r="BZ29" s="959">
        <f t="shared" si="34"/>
        <v>0</v>
      </c>
      <c r="CA29" s="960">
        <f t="shared" si="35"/>
        <v>0</v>
      </c>
      <c r="CB29" s="960">
        <f t="shared" si="40"/>
        <v>0</v>
      </c>
      <c r="CC29" s="960">
        <f t="shared" si="36"/>
        <v>0</v>
      </c>
      <c r="CD29" s="954">
        <f t="shared" si="37"/>
        <v>0</v>
      </c>
      <c r="CE29" s="908"/>
      <c r="CF29" s="908"/>
      <c r="CG29" s="729"/>
      <c r="CH29" s="729"/>
      <c r="CI29" s="729"/>
      <c r="CJ29" s="729"/>
      <c r="CK29" s="729"/>
      <c r="CL29" s="729"/>
      <c r="CM29" s="729"/>
      <c r="CN29" s="729"/>
    </row>
    <row r="30" spans="1:92" s="3" customFormat="1" ht="12" hidden="1">
      <c r="A30" s="870">
        <v>20</v>
      </c>
      <c r="B30" s="71"/>
      <c r="C30" s="873"/>
      <c r="D30" s="71"/>
      <c r="F30" s="71"/>
      <c r="H30" s="74"/>
      <c r="I30" s="34" t="str">
        <f t="shared" si="0"/>
        <v>.</v>
      </c>
      <c r="J30" s="74"/>
      <c r="K30" s="76"/>
      <c r="L30" s="916"/>
      <c r="M30" s="57"/>
      <c r="N30" s="549">
        <f t="shared" si="1"/>
        <v>0</v>
      </c>
      <c r="O30" s="57"/>
      <c r="P30" s="71"/>
      <c r="Q30" s="77">
        <f t="shared" si="2"/>
        <v>0</v>
      </c>
      <c r="R30" s="78"/>
      <c r="S30" s="37">
        <f t="shared" si="3"/>
        <v>0</v>
      </c>
      <c r="T30" s="82"/>
      <c r="U30" s="83">
        <f t="shared" si="4"/>
        <v>0</v>
      </c>
      <c r="V30" s="84"/>
      <c r="W30" s="57"/>
      <c r="X30" s="85"/>
      <c r="Z30" s="542">
        <f t="shared" si="5"/>
        <v>0</v>
      </c>
      <c r="AA30" s="36">
        <f t="shared" si="6"/>
        <v>0</v>
      </c>
      <c r="AB30" s="550"/>
      <c r="AC30" s="551">
        <f t="shared" si="7"/>
        <v>0</v>
      </c>
      <c r="AD30" s="542">
        <f t="shared" si="8"/>
        <v>0</v>
      </c>
      <c r="AE30" s="551">
        <f t="shared" si="9"/>
        <v>0</v>
      </c>
      <c r="AF30" s="542">
        <f t="shared" si="10"/>
        <v>0</v>
      </c>
      <c r="AG30" s="36">
        <f t="shared" si="11"/>
        <v>0</v>
      </c>
      <c r="AH30" s="86"/>
      <c r="AI30" s="36"/>
      <c r="AJ30" s="542">
        <f t="shared" si="12"/>
        <v>0</v>
      </c>
      <c r="AK30" s="36">
        <f t="shared" si="13"/>
        <v>0</v>
      </c>
      <c r="AL30" s="831"/>
      <c r="AM30" s="36">
        <f t="shared" si="14"/>
        <v>0</v>
      </c>
      <c r="AN30" s="86"/>
      <c r="AO30" s="34" t="str">
        <f t="shared" si="15"/>
        <v>.</v>
      </c>
      <c r="AP30" s="86"/>
      <c r="AQ30" s="36"/>
      <c r="AR30" s="544">
        <f t="shared" si="16"/>
        <v>0</v>
      </c>
      <c r="AS30" s="36">
        <f t="shared" si="17"/>
        <v>0</v>
      </c>
      <c r="AT30" s="544">
        <f>IF(PF!R26&gt;0,(CA30),0)</f>
        <v>0</v>
      </c>
      <c r="AU30" s="36">
        <f t="shared" si="18"/>
        <v>0</v>
      </c>
      <c r="AV30" s="545">
        <f t="shared" si="19"/>
        <v>0</v>
      </c>
      <c r="AW30" s="36"/>
      <c r="AX30" s="543">
        <f t="shared" si="20"/>
        <v>0</v>
      </c>
      <c r="AY30" s="36">
        <f t="shared" si="21"/>
        <v>0</v>
      </c>
      <c r="AZ30" s="544">
        <f t="shared" si="22"/>
        <v>0</v>
      </c>
      <c r="BA30" s="907">
        <f t="shared" si="23"/>
        <v>0</v>
      </c>
      <c r="BB30" s="951">
        <f>(BA30-AY30)*'E S'!$F$47</f>
        <v>0</v>
      </c>
      <c r="BC30" s="952"/>
      <c r="BD30" s="953">
        <f t="shared" si="38"/>
        <v>0</v>
      </c>
      <c r="BE30" s="954"/>
      <c r="BF30" s="953">
        <f t="shared" si="24"/>
        <v>0</v>
      </c>
      <c r="BG30" s="954">
        <f t="shared" si="25"/>
        <v>0</v>
      </c>
      <c r="BH30" s="952"/>
      <c r="BI30" s="952"/>
      <c r="BJ30" s="955"/>
      <c r="BK30" s="955">
        <v>1</v>
      </c>
      <c r="BL30" s="956">
        <f t="shared" si="26"/>
        <v>0</v>
      </c>
      <c r="BM30" s="955">
        <v>2</v>
      </c>
      <c r="BN30" s="956">
        <f t="shared" si="27"/>
        <v>0</v>
      </c>
      <c r="BO30" s="955">
        <v>3</v>
      </c>
      <c r="BP30" s="956">
        <f t="shared" si="28"/>
        <v>0</v>
      </c>
      <c r="BQ30" s="955">
        <v>4</v>
      </c>
      <c r="BR30" s="956">
        <f t="shared" si="39"/>
        <v>0</v>
      </c>
      <c r="BS30" s="955">
        <v>5</v>
      </c>
      <c r="BT30" s="956">
        <f t="shared" si="29"/>
        <v>0</v>
      </c>
      <c r="BU30" s="955"/>
      <c r="BV30" s="957">
        <f t="shared" si="30"/>
        <v>0</v>
      </c>
      <c r="BW30" s="957">
        <f t="shared" si="31"/>
        <v>0</v>
      </c>
      <c r="BX30" s="955">
        <f t="shared" si="32"/>
        <v>0</v>
      </c>
      <c r="BY30" s="958">
        <f t="shared" si="33"/>
        <v>0</v>
      </c>
      <c r="BZ30" s="959">
        <f t="shared" si="34"/>
        <v>0</v>
      </c>
      <c r="CA30" s="960">
        <f t="shared" si="35"/>
        <v>0</v>
      </c>
      <c r="CB30" s="960">
        <f t="shared" si="40"/>
        <v>0</v>
      </c>
      <c r="CC30" s="960">
        <f t="shared" si="36"/>
        <v>0</v>
      </c>
      <c r="CD30" s="954">
        <f t="shared" si="37"/>
        <v>0</v>
      </c>
      <c r="CE30" s="908"/>
      <c r="CF30" s="908"/>
      <c r="CG30" s="729"/>
      <c r="CH30" s="729"/>
      <c r="CI30" s="729"/>
      <c r="CJ30" s="729"/>
      <c r="CK30" s="729"/>
      <c r="CL30" s="729"/>
      <c r="CM30" s="729"/>
      <c r="CN30" s="729"/>
    </row>
    <row r="31" spans="1:92" s="3" customFormat="1" ht="12" hidden="1">
      <c r="A31" s="870">
        <v>21</v>
      </c>
      <c r="B31" s="71"/>
      <c r="C31" s="873"/>
      <c r="D31" s="71"/>
      <c r="F31" s="71"/>
      <c r="H31" s="74"/>
      <c r="I31" s="34" t="str">
        <f t="shared" si="0"/>
        <v>.</v>
      </c>
      <c r="J31" s="74"/>
      <c r="K31" s="76"/>
      <c r="L31" s="916"/>
      <c r="M31" s="57"/>
      <c r="N31" s="549">
        <f t="shared" si="1"/>
        <v>0</v>
      </c>
      <c r="O31" s="57"/>
      <c r="P31" s="71"/>
      <c r="Q31" s="77">
        <f t="shared" si="2"/>
        <v>0</v>
      </c>
      <c r="R31" s="78"/>
      <c r="S31" s="37">
        <f t="shared" si="3"/>
        <v>0</v>
      </c>
      <c r="T31" s="82"/>
      <c r="U31" s="83">
        <f t="shared" si="4"/>
        <v>0</v>
      </c>
      <c r="V31" s="84"/>
      <c r="W31" s="57"/>
      <c r="X31" s="85"/>
      <c r="Z31" s="542">
        <f t="shared" si="5"/>
        <v>0</v>
      </c>
      <c r="AA31" s="36">
        <f t="shared" si="6"/>
        <v>0</v>
      </c>
      <c r="AB31" s="550"/>
      <c r="AC31" s="551">
        <f t="shared" si="7"/>
        <v>0</v>
      </c>
      <c r="AD31" s="542">
        <f t="shared" si="8"/>
        <v>0</v>
      </c>
      <c r="AE31" s="551">
        <f t="shared" si="9"/>
        <v>0</v>
      </c>
      <c r="AF31" s="542">
        <f t="shared" si="10"/>
        <v>0</v>
      </c>
      <c r="AG31" s="36">
        <f t="shared" si="11"/>
        <v>0</v>
      </c>
      <c r="AH31" s="86"/>
      <c r="AI31" s="36"/>
      <c r="AJ31" s="542">
        <f t="shared" si="12"/>
        <v>0</v>
      </c>
      <c r="AK31" s="36">
        <f t="shared" si="13"/>
        <v>0</v>
      </c>
      <c r="AL31" s="831"/>
      <c r="AM31" s="36">
        <f t="shared" si="14"/>
        <v>0</v>
      </c>
      <c r="AN31" s="86"/>
      <c r="AO31" s="34" t="str">
        <f t="shared" si="15"/>
        <v>.</v>
      </c>
      <c r="AP31" s="86"/>
      <c r="AQ31" s="36"/>
      <c r="AR31" s="544">
        <f t="shared" si="16"/>
        <v>0</v>
      </c>
      <c r="AS31" s="36">
        <f t="shared" si="17"/>
        <v>0</v>
      </c>
      <c r="AT31" s="544">
        <f>IF(PF!R27&gt;0,(CA31),0)</f>
        <v>0</v>
      </c>
      <c r="AU31" s="36">
        <f t="shared" si="18"/>
        <v>0</v>
      </c>
      <c r="AV31" s="545">
        <f t="shared" si="19"/>
        <v>0</v>
      </c>
      <c r="AW31" s="36"/>
      <c r="AX31" s="543">
        <f t="shared" si="20"/>
        <v>0</v>
      </c>
      <c r="AY31" s="36">
        <f t="shared" si="21"/>
        <v>0</v>
      </c>
      <c r="AZ31" s="544">
        <f t="shared" si="22"/>
        <v>0</v>
      </c>
      <c r="BA31" s="907">
        <f t="shared" si="23"/>
        <v>0</v>
      </c>
      <c r="BB31" s="951">
        <f>(BA31-AY31)*'E S'!$F$47</f>
        <v>0</v>
      </c>
      <c r="BC31" s="952"/>
      <c r="BD31" s="953">
        <f t="shared" si="38"/>
        <v>0</v>
      </c>
      <c r="BE31" s="954"/>
      <c r="BF31" s="953">
        <f t="shared" si="24"/>
        <v>0</v>
      </c>
      <c r="BG31" s="954">
        <f t="shared" si="25"/>
        <v>0</v>
      </c>
      <c r="BH31" s="952"/>
      <c r="BI31" s="952"/>
      <c r="BJ31" s="955"/>
      <c r="BK31" s="955">
        <v>1</v>
      </c>
      <c r="BL31" s="956">
        <f t="shared" si="26"/>
        <v>0</v>
      </c>
      <c r="BM31" s="955">
        <v>2</v>
      </c>
      <c r="BN31" s="956">
        <f t="shared" si="27"/>
        <v>0</v>
      </c>
      <c r="BO31" s="955">
        <v>3</v>
      </c>
      <c r="BP31" s="956">
        <f t="shared" si="28"/>
        <v>0</v>
      </c>
      <c r="BQ31" s="955">
        <v>4</v>
      </c>
      <c r="BR31" s="956">
        <f t="shared" si="39"/>
        <v>0</v>
      </c>
      <c r="BS31" s="955">
        <v>5</v>
      </c>
      <c r="BT31" s="956">
        <f t="shared" si="29"/>
        <v>0</v>
      </c>
      <c r="BU31" s="955"/>
      <c r="BV31" s="957">
        <f t="shared" si="30"/>
        <v>0</v>
      </c>
      <c r="BW31" s="957">
        <f t="shared" si="31"/>
        <v>0</v>
      </c>
      <c r="BX31" s="955">
        <f t="shared" si="32"/>
        <v>0</v>
      </c>
      <c r="BY31" s="958">
        <f t="shared" si="33"/>
        <v>0</v>
      </c>
      <c r="BZ31" s="959">
        <f t="shared" si="34"/>
        <v>0</v>
      </c>
      <c r="CA31" s="960">
        <f t="shared" si="35"/>
        <v>0</v>
      </c>
      <c r="CB31" s="960">
        <f t="shared" si="40"/>
        <v>0</v>
      </c>
      <c r="CC31" s="960">
        <f t="shared" si="36"/>
        <v>0</v>
      </c>
      <c r="CD31" s="954">
        <f t="shared" si="37"/>
        <v>0</v>
      </c>
      <c r="CE31" s="908"/>
      <c r="CF31" s="908"/>
      <c r="CG31" s="729"/>
      <c r="CH31" s="729"/>
      <c r="CI31" s="729"/>
      <c r="CJ31" s="729"/>
      <c r="CK31" s="729"/>
      <c r="CL31" s="729"/>
      <c r="CM31" s="729"/>
      <c r="CN31" s="729"/>
    </row>
    <row r="32" spans="1:92" s="3" customFormat="1" ht="12" hidden="1">
      <c r="A32" s="870">
        <v>22</v>
      </c>
      <c r="B32" s="71"/>
      <c r="C32" s="873"/>
      <c r="D32" s="71"/>
      <c r="F32" s="71"/>
      <c r="H32" s="73"/>
      <c r="I32" s="34" t="str">
        <f t="shared" si="0"/>
        <v>.</v>
      </c>
      <c r="J32" s="74"/>
      <c r="K32" s="76"/>
      <c r="L32" s="916"/>
      <c r="M32" s="57"/>
      <c r="N32" s="549">
        <f t="shared" si="1"/>
        <v>0</v>
      </c>
      <c r="O32" s="57"/>
      <c r="P32" s="80"/>
      <c r="Q32" s="77">
        <f t="shared" si="2"/>
        <v>0</v>
      </c>
      <c r="R32" s="78"/>
      <c r="S32" s="37">
        <f t="shared" si="3"/>
        <v>0</v>
      </c>
      <c r="T32" s="82"/>
      <c r="U32" s="83">
        <f t="shared" si="4"/>
        <v>0</v>
      </c>
      <c r="V32" s="84"/>
      <c r="W32" s="57"/>
      <c r="X32" s="85"/>
      <c r="Z32" s="542">
        <f t="shared" si="5"/>
        <v>0</v>
      </c>
      <c r="AA32" s="36">
        <f t="shared" si="6"/>
        <v>0</v>
      </c>
      <c r="AB32" s="550"/>
      <c r="AC32" s="551">
        <f t="shared" si="7"/>
        <v>0</v>
      </c>
      <c r="AD32" s="542">
        <f t="shared" si="8"/>
        <v>0</v>
      </c>
      <c r="AE32" s="551">
        <f t="shared" si="9"/>
        <v>0</v>
      </c>
      <c r="AF32" s="542">
        <f t="shared" si="10"/>
        <v>0</v>
      </c>
      <c r="AG32" s="36">
        <f t="shared" si="11"/>
        <v>0</v>
      </c>
      <c r="AH32" s="86"/>
      <c r="AI32" s="36"/>
      <c r="AJ32" s="542">
        <f t="shared" si="12"/>
        <v>0</v>
      </c>
      <c r="AK32" s="36">
        <f t="shared" si="13"/>
        <v>0</v>
      </c>
      <c r="AL32" s="831"/>
      <c r="AM32" s="36">
        <f t="shared" si="14"/>
        <v>0</v>
      </c>
      <c r="AN32" s="86"/>
      <c r="AO32" s="34" t="str">
        <f t="shared" si="15"/>
        <v>.</v>
      </c>
      <c r="AP32" s="86"/>
      <c r="AQ32" s="36"/>
      <c r="AR32" s="544">
        <f t="shared" si="16"/>
        <v>0</v>
      </c>
      <c r="AS32" s="36">
        <f t="shared" si="17"/>
        <v>0</v>
      </c>
      <c r="AT32" s="544">
        <f>IF(PF!R28&gt;0,(CA32),0)</f>
        <v>0</v>
      </c>
      <c r="AU32" s="36">
        <f t="shared" si="18"/>
        <v>0</v>
      </c>
      <c r="AV32" s="545">
        <f t="shared" si="19"/>
        <v>0</v>
      </c>
      <c r="AW32" s="36"/>
      <c r="AX32" s="543">
        <f t="shared" si="20"/>
        <v>0</v>
      </c>
      <c r="AY32" s="36">
        <f t="shared" si="21"/>
        <v>0</v>
      </c>
      <c r="AZ32" s="544">
        <f t="shared" si="22"/>
        <v>0</v>
      </c>
      <c r="BA32" s="907">
        <f t="shared" si="23"/>
        <v>0</v>
      </c>
      <c r="BB32" s="951">
        <f>(BA32-AY32)*'E S'!$F$47</f>
        <v>0</v>
      </c>
      <c r="BC32" s="952"/>
      <c r="BD32" s="953">
        <f t="shared" si="38"/>
        <v>0</v>
      </c>
      <c r="BE32" s="954"/>
      <c r="BF32" s="953">
        <f t="shared" si="24"/>
        <v>0</v>
      </c>
      <c r="BG32" s="954">
        <f t="shared" si="25"/>
        <v>0</v>
      </c>
      <c r="BH32" s="952"/>
      <c r="BI32" s="952"/>
      <c r="BJ32" s="955"/>
      <c r="BK32" s="955">
        <v>1</v>
      </c>
      <c r="BL32" s="956">
        <f t="shared" si="26"/>
        <v>0</v>
      </c>
      <c r="BM32" s="955">
        <v>2</v>
      </c>
      <c r="BN32" s="956">
        <f t="shared" si="27"/>
        <v>0</v>
      </c>
      <c r="BO32" s="955">
        <v>3</v>
      </c>
      <c r="BP32" s="956">
        <f t="shared" si="28"/>
        <v>0</v>
      </c>
      <c r="BQ32" s="955">
        <v>4</v>
      </c>
      <c r="BR32" s="956">
        <f t="shared" si="39"/>
        <v>0</v>
      </c>
      <c r="BS32" s="955">
        <v>5</v>
      </c>
      <c r="BT32" s="956">
        <f t="shared" si="29"/>
        <v>0</v>
      </c>
      <c r="BU32" s="955"/>
      <c r="BV32" s="957">
        <f t="shared" si="30"/>
        <v>0</v>
      </c>
      <c r="BW32" s="957">
        <f t="shared" si="31"/>
        <v>0</v>
      </c>
      <c r="BX32" s="955">
        <f t="shared" si="32"/>
        <v>0</v>
      </c>
      <c r="BY32" s="958">
        <f t="shared" si="33"/>
        <v>0</v>
      </c>
      <c r="BZ32" s="959">
        <f t="shared" si="34"/>
        <v>0</v>
      </c>
      <c r="CA32" s="960">
        <f t="shared" si="35"/>
        <v>0</v>
      </c>
      <c r="CB32" s="960">
        <f t="shared" si="40"/>
        <v>0</v>
      </c>
      <c r="CC32" s="960">
        <f t="shared" si="36"/>
        <v>0</v>
      </c>
      <c r="CD32" s="954">
        <f t="shared" si="37"/>
        <v>0</v>
      </c>
      <c r="CE32" s="908"/>
      <c r="CF32" s="908"/>
      <c r="CG32" s="729"/>
      <c r="CH32" s="729"/>
      <c r="CI32" s="729"/>
      <c r="CJ32" s="729"/>
      <c r="CK32" s="729"/>
      <c r="CL32" s="729"/>
      <c r="CM32" s="729"/>
      <c r="CN32" s="729"/>
    </row>
    <row r="33" spans="1:92" s="3" customFormat="1" ht="12" hidden="1">
      <c r="A33" s="870">
        <v>23</v>
      </c>
      <c r="B33" s="71"/>
      <c r="C33" s="873"/>
      <c r="D33" s="71"/>
      <c r="F33" s="71"/>
      <c r="H33" s="73"/>
      <c r="I33" s="34" t="str">
        <f t="shared" si="0"/>
        <v>.</v>
      </c>
      <c r="J33" s="74"/>
      <c r="K33" s="76"/>
      <c r="L33" s="916"/>
      <c r="M33" s="57"/>
      <c r="N33" s="549">
        <f t="shared" si="1"/>
        <v>0</v>
      </c>
      <c r="O33" s="57"/>
      <c r="P33" s="71"/>
      <c r="Q33" s="77">
        <f t="shared" si="2"/>
        <v>0</v>
      </c>
      <c r="R33" s="78"/>
      <c r="S33" s="37">
        <f t="shared" si="3"/>
        <v>0</v>
      </c>
      <c r="T33" s="82"/>
      <c r="U33" s="83">
        <f t="shared" si="4"/>
        <v>0</v>
      </c>
      <c r="V33" s="84"/>
      <c r="W33" s="57"/>
      <c r="X33" s="85"/>
      <c r="Z33" s="542">
        <f t="shared" si="5"/>
        <v>0</v>
      </c>
      <c r="AA33" s="36">
        <f t="shared" si="6"/>
        <v>0</v>
      </c>
      <c r="AB33" s="550"/>
      <c r="AC33" s="551">
        <f t="shared" si="7"/>
        <v>0</v>
      </c>
      <c r="AD33" s="542">
        <f t="shared" si="8"/>
        <v>0</v>
      </c>
      <c r="AE33" s="551">
        <f t="shared" si="9"/>
        <v>0</v>
      </c>
      <c r="AF33" s="542">
        <f t="shared" si="10"/>
        <v>0</v>
      </c>
      <c r="AG33" s="36">
        <f t="shared" si="11"/>
        <v>0</v>
      </c>
      <c r="AH33" s="86"/>
      <c r="AI33" s="36"/>
      <c r="AJ33" s="542">
        <f t="shared" si="12"/>
        <v>0</v>
      </c>
      <c r="AK33" s="36">
        <f t="shared" si="13"/>
        <v>0</v>
      </c>
      <c r="AL33" s="831"/>
      <c r="AM33" s="36">
        <f t="shared" si="14"/>
        <v>0</v>
      </c>
      <c r="AN33" s="86"/>
      <c r="AO33" s="34" t="str">
        <f t="shared" si="15"/>
        <v>.</v>
      </c>
      <c r="AP33" s="86"/>
      <c r="AQ33" s="36"/>
      <c r="AR33" s="544">
        <f t="shared" si="16"/>
        <v>0</v>
      </c>
      <c r="AS33" s="36">
        <f t="shared" si="17"/>
        <v>0</v>
      </c>
      <c r="AT33" s="544">
        <f>IF(PF!R29&gt;0,(CA33),0)</f>
        <v>0</v>
      </c>
      <c r="AU33" s="36">
        <f t="shared" si="18"/>
        <v>0</v>
      </c>
      <c r="AV33" s="545">
        <f t="shared" si="19"/>
        <v>0</v>
      </c>
      <c r="AW33" s="36"/>
      <c r="AX33" s="543">
        <f t="shared" si="20"/>
        <v>0</v>
      </c>
      <c r="AY33" s="36">
        <f t="shared" si="21"/>
        <v>0</v>
      </c>
      <c r="AZ33" s="544">
        <f t="shared" si="22"/>
        <v>0</v>
      </c>
      <c r="BA33" s="907">
        <f t="shared" si="23"/>
        <v>0</v>
      </c>
      <c r="BB33" s="951">
        <f>(BA33-AY33)*'E S'!$F$47</f>
        <v>0</v>
      </c>
      <c r="BC33" s="952"/>
      <c r="BD33" s="953">
        <f t="shared" si="38"/>
        <v>0</v>
      </c>
      <c r="BE33" s="954"/>
      <c r="BF33" s="953">
        <f t="shared" si="24"/>
        <v>0</v>
      </c>
      <c r="BG33" s="954">
        <f t="shared" si="25"/>
        <v>0</v>
      </c>
      <c r="BH33" s="952"/>
      <c r="BI33" s="952"/>
      <c r="BJ33" s="955"/>
      <c r="BK33" s="955">
        <v>1</v>
      </c>
      <c r="BL33" s="956">
        <f t="shared" si="26"/>
        <v>0</v>
      </c>
      <c r="BM33" s="955">
        <v>2</v>
      </c>
      <c r="BN33" s="956">
        <f t="shared" si="27"/>
        <v>0</v>
      </c>
      <c r="BO33" s="955">
        <v>3</v>
      </c>
      <c r="BP33" s="956">
        <f t="shared" si="28"/>
        <v>0</v>
      </c>
      <c r="BQ33" s="955">
        <v>4</v>
      </c>
      <c r="BR33" s="956">
        <f t="shared" si="39"/>
        <v>0</v>
      </c>
      <c r="BS33" s="955">
        <v>5</v>
      </c>
      <c r="BT33" s="956">
        <f t="shared" si="29"/>
        <v>0</v>
      </c>
      <c r="BU33" s="955"/>
      <c r="BV33" s="957">
        <f t="shared" si="30"/>
        <v>0</v>
      </c>
      <c r="BW33" s="957">
        <f t="shared" si="31"/>
        <v>0</v>
      </c>
      <c r="BX33" s="955">
        <f t="shared" si="32"/>
        <v>0</v>
      </c>
      <c r="BY33" s="958">
        <f t="shared" si="33"/>
        <v>0</v>
      </c>
      <c r="BZ33" s="959">
        <f t="shared" si="34"/>
        <v>0</v>
      </c>
      <c r="CA33" s="960">
        <f t="shared" si="35"/>
        <v>0</v>
      </c>
      <c r="CB33" s="960">
        <f t="shared" si="40"/>
        <v>0</v>
      </c>
      <c r="CC33" s="960">
        <f t="shared" si="36"/>
        <v>0</v>
      </c>
      <c r="CD33" s="954">
        <f t="shared" si="37"/>
        <v>0</v>
      </c>
      <c r="CE33" s="908"/>
      <c r="CF33" s="908"/>
      <c r="CG33" s="729"/>
      <c r="CH33" s="729"/>
      <c r="CI33" s="729"/>
      <c r="CJ33" s="729"/>
      <c r="CK33" s="729"/>
      <c r="CL33" s="729"/>
      <c r="CM33" s="729"/>
      <c r="CN33" s="729"/>
    </row>
    <row r="34" spans="1:92" s="3" customFormat="1" ht="12" hidden="1">
      <c r="A34" s="870">
        <v>24</v>
      </c>
      <c r="B34" s="71"/>
      <c r="C34" s="873"/>
      <c r="D34" s="71"/>
      <c r="F34" s="71"/>
      <c r="H34" s="74"/>
      <c r="I34" s="34" t="str">
        <f t="shared" si="0"/>
        <v>.</v>
      </c>
      <c r="J34" s="74"/>
      <c r="K34" s="76"/>
      <c r="L34" s="916"/>
      <c r="M34" s="57"/>
      <c r="N34" s="549">
        <f t="shared" si="1"/>
        <v>0</v>
      </c>
      <c r="O34" s="57"/>
      <c r="P34" s="71"/>
      <c r="Q34" s="77">
        <f t="shared" si="2"/>
        <v>0</v>
      </c>
      <c r="R34" s="78"/>
      <c r="S34" s="37">
        <f t="shared" si="3"/>
        <v>0</v>
      </c>
      <c r="T34" s="82"/>
      <c r="U34" s="83">
        <f t="shared" si="4"/>
        <v>0</v>
      </c>
      <c r="V34" s="84"/>
      <c r="W34" s="57"/>
      <c r="X34" s="85"/>
      <c r="Z34" s="542">
        <f t="shared" si="5"/>
        <v>0</v>
      </c>
      <c r="AA34" s="36">
        <f t="shared" si="6"/>
        <v>0</v>
      </c>
      <c r="AB34" s="550"/>
      <c r="AC34" s="551">
        <f t="shared" si="7"/>
        <v>0</v>
      </c>
      <c r="AD34" s="542">
        <f t="shared" si="8"/>
        <v>0</v>
      </c>
      <c r="AE34" s="551">
        <f t="shared" si="9"/>
        <v>0</v>
      </c>
      <c r="AF34" s="542">
        <f t="shared" si="10"/>
        <v>0</v>
      </c>
      <c r="AG34" s="36">
        <f t="shared" si="11"/>
        <v>0</v>
      </c>
      <c r="AH34" s="86"/>
      <c r="AI34" s="36"/>
      <c r="AJ34" s="542">
        <f t="shared" si="12"/>
        <v>0</v>
      </c>
      <c r="AK34" s="36">
        <f t="shared" si="13"/>
        <v>0</v>
      </c>
      <c r="AL34" s="831"/>
      <c r="AM34" s="36">
        <f t="shared" si="14"/>
        <v>0</v>
      </c>
      <c r="AN34" s="86"/>
      <c r="AO34" s="34" t="str">
        <f t="shared" si="15"/>
        <v>.</v>
      </c>
      <c r="AP34" s="86"/>
      <c r="AQ34" s="36"/>
      <c r="AR34" s="544">
        <f t="shared" si="16"/>
        <v>0</v>
      </c>
      <c r="AS34" s="36">
        <f t="shared" si="17"/>
        <v>0</v>
      </c>
      <c r="AT34" s="544">
        <f>IF(PF!R30&gt;0,(CA34),0)</f>
        <v>0</v>
      </c>
      <c r="AU34" s="36">
        <f t="shared" si="18"/>
        <v>0</v>
      </c>
      <c r="AV34" s="545">
        <f t="shared" si="19"/>
        <v>0</v>
      </c>
      <c r="AW34" s="36"/>
      <c r="AX34" s="543">
        <f t="shared" si="20"/>
        <v>0</v>
      </c>
      <c r="AY34" s="36">
        <f t="shared" si="21"/>
        <v>0</v>
      </c>
      <c r="AZ34" s="544">
        <f t="shared" si="22"/>
        <v>0</v>
      </c>
      <c r="BA34" s="907">
        <f t="shared" si="23"/>
        <v>0</v>
      </c>
      <c r="BB34" s="951">
        <f>(BA34-AY34)*'E S'!$F$47</f>
        <v>0</v>
      </c>
      <c r="BC34" s="952"/>
      <c r="BD34" s="953">
        <f t="shared" si="38"/>
        <v>0</v>
      </c>
      <c r="BE34" s="954"/>
      <c r="BF34" s="953">
        <f t="shared" si="24"/>
        <v>0</v>
      </c>
      <c r="BG34" s="954">
        <f t="shared" si="25"/>
        <v>0</v>
      </c>
      <c r="BH34" s="952"/>
      <c r="BI34" s="952"/>
      <c r="BJ34" s="955"/>
      <c r="BK34" s="955">
        <v>1</v>
      </c>
      <c r="BL34" s="956">
        <f t="shared" si="26"/>
        <v>0</v>
      </c>
      <c r="BM34" s="955">
        <v>2</v>
      </c>
      <c r="BN34" s="956">
        <f t="shared" si="27"/>
        <v>0</v>
      </c>
      <c r="BO34" s="955">
        <v>3</v>
      </c>
      <c r="BP34" s="956">
        <f t="shared" si="28"/>
        <v>0</v>
      </c>
      <c r="BQ34" s="955">
        <v>4</v>
      </c>
      <c r="BR34" s="956">
        <f t="shared" si="39"/>
        <v>0</v>
      </c>
      <c r="BS34" s="955">
        <v>5</v>
      </c>
      <c r="BT34" s="956">
        <f t="shared" si="29"/>
        <v>0</v>
      </c>
      <c r="BU34" s="955"/>
      <c r="BV34" s="957">
        <f t="shared" si="30"/>
        <v>0</v>
      </c>
      <c r="BW34" s="957">
        <f t="shared" si="31"/>
        <v>0</v>
      </c>
      <c r="BX34" s="955">
        <f t="shared" si="32"/>
        <v>0</v>
      </c>
      <c r="BY34" s="958">
        <f t="shared" si="33"/>
        <v>0</v>
      </c>
      <c r="BZ34" s="959">
        <f t="shared" si="34"/>
        <v>0</v>
      </c>
      <c r="CA34" s="960">
        <f t="shared" si="35"/>
        <v>0</v>
      </c>
      <c r="CB34" s="960">
        <f t="shared" si="40"/>
        <v>0</v>
      </c>
      <c r="CC34" s="960">
        <f t="shared" si="36"/>
        <v>0</v>
      </c>
      <c r="CD34" s="954">
        <f t="shared" si="37"/>
        <v>0</v>
      </c>
      <c r="CE34" s="908"/>
      <c r="CF34" s="908"/>
      <c r="CG34" s="729"/>
      <c r="CH34" s="729"/>
      <c r="CI34" s="729"/>
      <c r="CJ34" s="729"/>
      <c r="CK34" s="729"/>
      <c r="CL34" s="729"/>
      <c r="CM34" s="729"/>
      <c r="CN34" s="729"/>
    </row>
    <row r="35" spans="1:92" s="3" customFormat="1" ht="12" hidden="1">
      <c r="A35" s="870">
        <v>25</v>
      </c>
      <c r="B35" s="71"/>
      <c r="C35" s="873"/>
      <c r="D35" s="71"/>
      <c r="F35" s="71"/>
      <c r="H35" s="74"/>
      <c r="I35" s="34" t="str">
        <f t="shared" si="0"/>
        <v>.</v>
      </c>
      <c r="J35" s="74"/>
      <c r="K35" s="76"/>
      <c r="L35" s="916"/>
      <c r="M35" s="57"/>
      <c r="N35" s="549">
        <f t="shared" si="1"/>
        <v>0</v>
      </c>
      <c r="O35" s="57"/>
      <c r="P35" s="71"/>
      <c r="Q35" s="77">
        <f t="shared" si="2"/>
        <v>0</v>
      </c>
      <c r="R35" s="78"/>
      <c r="S35" s="37">
        <f t="shared" si="3"/>
        <v>0</v>
      </c>
      <c r="T35" s="82"/>
      <c r="U35" s="83">
        <f t="shared" si="4"/>
        <v>0</v>
      </c>
      <c r="V35" s="84"/>
      <c r="W35" s="57"/>
      <c r="X35" s="85"/>
      <c r="Z35" s="542">
        <f t="shared" si="5"/>
        <v>0</v>
      </c>
      <c r="AA35" s="36">
        <f t="shared" si="6"/>
        <v>0</v>
      </c>
      <c r="AB35" s="550"/>
      <c r="AC35" s="551">
        <f t="shared" si="7"/>
        <v>0</v>
      </c>
      <c r="AD35" s="542">
        <f t="shared" si="8"/>
        <v>0</v>
      </c>
      <c r="AE35" s="551">
        <f t="shared" si="9"/>
        <v>0</v>
      </c>
      <c r="AF35" s="542">
        <f t="shared" si="10"/>
        <v>0</v>
      </c>
      <c r="AG35" s="36">
        <f t="shared" si="11"/>
        <v>0</v>
      </c>
      <c r="AH35" s="86"/>
      <c r="AI35" s="36"/>
      <c r="AJ35" s="542">
        <f t="shared" si="12"/>
        <v>0</v>
      </c>
      <c r="AK35" s="36">
        <f t="shared" si="13"/>
        <v>0</v>
      </c>
      <c r="AL35" s="831"/>
      <c r="AM35" s="36">
        <f t="shared" si="14"/>
        <v>0</v>
      </c>
      <c r="AN35" s="86"/>
      <c r="AO35" s="34" t="str">
        <f t="shared" si="15"/>
        <v>.</v>
      </c>
      <c r="AP35" s="86"/>
      <c r="AQ35" s="36"/>
      <c r="AR35" s="544">
        <f t="shared" si="16"/>
        <v>0</v>
      </c>
      <c r="AS35" s="36">
        <f t="shared" si="17"/>
        <v>0</v>
      </c>
      <c r="AT35" s="544">
        <f>IF(PF!R31&gt;0,(CA35),0)</f>
        <v>0</v>
      </c>
      <c r="AU35" s="36">
        <f t="shared" si="18"/>
        <v>0</v>
      </c>
      <c r="AV35" s="545">
        <f t="shared" si="19"/>
        <v>0</v>
      </c>
      <c r="AW35" s="36"/>
      <c r="AX35" s="543">
        <f t="shared" si="20"/>
        <v>0</v>
      </c>
      <c r="AY35" s="36">
        <f t="shared" si="21"/>
        <v>0</v>
      </c>
      <c r="AZ35" s="544">
        <f t="shared" si="22"/>
        <v>0</v>
      </c>
      <c r="BA35" s="907">
        <f t="shared" si="23"/>
        <v>0</v>
      </c>
      <c r="BB35" s="951">
        <f>(BA35-AY35)*'E S'!$F$47</f>
        <v>0</v>
      </c>
      <c r="BC35" s="952"/>
      <c r="BD35" s="953">
        <f t="shared" si="38"/>
        <v>0</v>
      </c>
      <c r="BE35" s="954"/>
      <c r="BF35" s="953">
        <f t="shared" si="24"/>
        <v>0</v>
      </c>
      <c r="BG35" s="954">
        <f t="shared" si="25"/>
        <v>0</v>
      </c>
      <c r="BH35" s="952"/>
      <c r="BI35" s="952"/>
      <c r="BJ35" s="955"/>
      <c r="BK35" s="955">
        <v>1</v>
      </c>
      <c r="BL35" s="956">
        <f t="shared" si="26"/>
        <v>0</v>
      </c>
      <c r="BM35" s="955">
        <v>2</v>
      </c>
      <c r="BN35" s="956">
        <f t="shared" si="27"/>
        <v>0</v>
      </c>
      <c r="BO35" s="955">
        <v>3</v>
      </c>
      <c r="BP35" s="956">
        <f t="shared" si="28"/>
        <v>0</v>
      </c>
      <c r="BQ35" s="955">
        <v>4</v>
      </c>
      <c r="BR35" s="956">
        <f t="shared" si="39"/>
        <v>0</v>
      </c>
      <c r="BS35" s="955">
        <v>5</v>
      </c>
      <c r="BT35" s="956">
        <f t="shared" si="29"/>
        <v>0</v>
      </c>
      <c r="BU35" s="955"/>
      <c r="BV35" s="957">
        <f t="shared" si="30"/>
        <v>0</v>
      </c>
      <c r="BW35" s="957">
        <f t="shared" si="31"/>
        <v>0</v>
      </c>
      <c r="BX35" s="955">
        <f t="shared" si="32"/>
        <v>0</v>
      </c>
      <c r="BY35" s="958">
        <f t="shared" si="33"/>
        <v>0</v>
      </c>
      <c r="BZ35" s="959">
        <f t="shared" si="34"/>
        <v>0</v>
      </c>
      <c r="CA35" s="960">
        <f t="shared" si="35"/>
        <v>0</v>
      </c>
      <c r="CB35" s="960">
        <f t="shared" si="40"/>
        <v>0</v>
      </c>
      <c r="CC35" s="960">
        <f t="shared" si="36"/>
        <v>0</v>
      </c>
      <c r="CD35" s="954">
        <f t="shared" si="37"/>
        <v>0</v>
      </c>
      <c r="CE35" s="908"/>
      <c r="CF35" s="908"/>
      <c r="CG35" s="729"/>
      <c r="CH35" s="729"/>
      <c r="CI35" s="729"/>
      <c r="CJ35" s="729"/>
      <c r="CK35" s="729"/>
      <c r="CL35" s="729"/>
      <c r="CM35" s="729"/>
      <c r="CN35" s="729"/>
    </row>
    <row r="36" spans="1:92" s="3" customFormat="1" ht="12" hidden="1">
      <c r="A36" s="870">
        <v>26</v>
      </c>
      <c r="B36" s="71"/>
      <c r="C36" s="873"/>
      <c r="D36" s="71"/>
      <c r="F36" s="71"/>
      <c r="H36" s="74"/>
      <c r="I36" s="34" t="str">
        <f t="shared" si="0"/>
        <v>.</v>
      </c>
      <c r="J36" s="74"/>
      <c r="K36" s="76"/>
      <c r="L36" s="916"/>
      <c r="M36" s="57"/>
      <c r="N36" s="549">
        <f t="shared" si="1"/>
        <v>0</v>
      </c>
      <c r="O36" s="57"/>
      <c r="P36" s="71"/>
      <c r="Q36" s="77">
        <f t="shared" si="2"/>
        <v>0</v>
      </c>
      <c r="R36" s="78"/>
      <c r="S36" s="37">
        <f t="shared" si="3"/>
        <v>0</v>
      </c>
      <c r="T36" s="82"/>
      <c r="U36" s="83">
        <f t="shared" si="4"/>
        <v>0</v>
      </c>
      <c r="V36" s="84"/>
      <c r="W36" s="57"/>
      <c r="X36" s="85"/>
      <c r="Z36" s="542">
        <f t="shared" si="5"/>
        <v>0</v>
      </c>
      <c r="AA36" s="36">
        <f t="shared" si="6"/>
        <v>0</v>
      </c>
      <c r="AB36" s="550"/>
      <c r="AC36" s="551">
        <f t="shared" si="7"/>
        <v>0</v>
      </c>
      <c r="AD36" s="542">
        <f t="shared" si="8"/>
        <v>0</v>
      </c>
      <c r="AE36" s="551">
        <f t="shared" si="9"/>
        <v>0</v>
      </c>
      <c r="AF36" s="542">
        <f t="shared" si="10"/>
        <v>0</v>
      </c>
      <c r="AG36" s="36">
        <f t="shared" si="11"/>
        <v>0</v>
      </c>
      <c r="AH36" s="86"/>
      <c r="AI36" s="36"/>
      <c r="AJ36" s="542">
        <f t="shared" si="12"/>
        <v>0</v>
      </c>
      <c r="AK36" s="36">
        <f t="shared" si="13"/>
        <v>0</v>
      </c>
      <c r="AL36" s="831"/>
      <c r="AM36" s="36">
        <f t="shared" si="14"/>
        <v>0</v>
      </c>
      <c r="AN36" s="86"/>
      <c r="AO36" s="34" t="str">
        <f t="shared" si="15"/>
        <v>.</v>
      </c>
      <c r="AP36" s="86"/>
      <c r="AQ36" s="36"/>
      <c r="AR36" s="544">
        <f t="shared" si="16"/>
        <v>0</v>
      </c>
      <c r="AS36" s="36">
        <f t="shared" si="17"/>
        <v>0</v>
      </c>
      <c r="AT36" s="544">
        <f>IF(PF!R32&gt;0,(CA36),0)</f>
        <v>0</v>
      </c>
      <c r="AU36" s="36">
        <f t="shared" si="18"/>
        <v>0</v>
      </c>
      <c r="AV36" s="545">
        <f t="shared" si="19"/>
        <v>0</v>
      </c>
      <c r="AW36" s="36"/>
      <c r="AX36" s="543">
        <f t="shared" si="20"/>
        <v>0</v>
      </c>
      <c r="AY36" s="36">
        <f t="shared" si="21"/>
        <v>0</v>
      </c>
      <c r="AZ36" s="544">
        <f t="shared" si="22"/>
        <v>0</v>
      </c>
      <c r="BA36" s="907">
        <f t="shared" si="23"/>
        <v>0</v>
      </c>
      <c r="BB36" s="951">
        <f>(BA36-AY36)*'E S'!$F$47</f>
        <v>0</v>
      </c>
      <c r="BC36" s="952"/>
      <c r="BD36" s="953">
        <f t="shared" si="38"/>
        <v>0</v>
      </c>
      <c r="BE36" s="954"/>
      <c r="BF36" s="953">
        <f t="shared" si="24"/>
        <v>0</v>
      </c>
      <c r="BG36" s="954">
        <f t="shared" si="25"/>
        <v>0</v>
      </c>
      <c r="BH36" s="952"/>
      <c r="BI36" s="952"/>
      <c r="BJ36" s="955"/>
      <c r="BK36" s="955">
        <v>1</v>
      </c>
      <c r="BL36" s="956">
        <f t="shared" si="26"/>
        <v>0</v>
      </c>
      <c r="BM36" s="955">
        <v>2</v>
      </c>
      <c r="BN36" s="956">
        <f t="shared" si="27"/>
        <v>0</v>
      </c>
      <c r="BO36" s="955">
        <v>3</v>
      </c>
      <c r="BP36" s="956">
        <f t="shared" si="28"/>
        <v>0</v>
      </c>
      <c r="BQ36" s="955">
        <v>4</v>
      </c>
      <c r="BR36" s="956">
        <f t="shared" si="39"/>
        <v>0</v>
      </c>
      <c r="BS36" s="955">
        <v>5</v>
      </c>
      <c r="BT36" s="956">
        <f t="shared" si="29"/>
        <v>0</v>
      </c>
      <c r="BU36" s="955"/>
      <c r="BV36" s="957">
        <f t="shared" si="30"/>
        <v>0</v>
      </c>
      <c r="BW36" s="957">
        <f t="shared" si="31"/>
        <v>0</v>
      </c>
      <c r="BX36" s="955">
        <f t="shared" si="32"/>
        <v>0</v>
      </c>
      <c r="BY36" s="958">
        <f t="shared" si="33"/>
        <v>0</v>
      </c>
      <c r="BZ36" s="959">
        <f t="shared" si="34"/>
        <v>0</v>
      </c>
      <c r="CA36" s="960">
        <f t="shared" si="35"/>
        <v>0</v>
      </c>
      <c r="CB36" s="960">
        <f t="shared" si="40"/>
        <v>0</v>
      </c>
      <c r="CC36" s="960">
        <f t="shared" si="36"/>
        <v>0</v>
      </c>
      <c r="CD36" s="954">
        <f t="shared" si="37"/>
        <v>0</v>
      </c>
      <c r="CE36" s="908"/>
      <c r="CF36" s="908"/>
      <c r="CG36" s="729"/>
      <c r="CH36" s="729"/>
      <c r="CI36" s="729"/>
      <c r="CJ36" s="729"/>
      <c r="CK36" s="729"/>
      <c r="CL36" s="729"/>
      <c r="CM36" s="729"/>
      <c r="CN36" s="729"/>
    </row>
    <row r="37" spans="1:92" s="3" customFormat="1" ht="12" hidden="1">
      <c r="A37" s="870">
        <v>27</v>
      </c>
      <c r="B37" s="71"/>
      <c r="C37" s="873"/>
      <c r="D37" s="71"/>
      <c r="F37" s="71"/>
      <c r="H37" s="74"/>
      <c r="I37" s="34" t="str">
        <f t="shared" si="0"/>
        <v>.</v>
      </c>
      <c r="J37" s="74"/>
      <c r="K37" s="76"/>
      <c r="L37" s="916"/>
      <c r="M37" s="57"/>
      <c r="N37" s="549">
        <f t="shared" si="1"/>
        <v>0</v>
      </c>
      <c r="O37" s="57"/>
      <c r="P37" s="80"/>
      <c r="Q37" s="77">
        <f t="shared" si="2"/>
        <v>0</v>
      </c>
      <c r="R37" s="78"/>
      <c r="S37" s="37">
        <f t="shared" si="3"/>
        <v>0</v>
      </c>
      <c r="T37" s="82"/>
      <c r="U37" s="83">
        <f t="shared" si="4"/>
        <v>0</v>
      </c>
      <c r="V37" s="84"/>
      <c r="W37" s="57"/>
      <c r="X37" s="85"/>
      <c r="Z37" s="542">
        <f t="shared" si="5"/>
        <v>0</v>
      </c>
      <c r="AA37" s="36">
        <f t="shared" si="6"/>
        <v>0</v>
      </c>
      <c r="AB37" s="550"/>
      <c r="AC37" s="551">
        <f t="shared" si="7"/>
        <v>0</v>
      </c>
      <c r="AD37" s="542">
        <f t="shared" si="8"/>
        <v>0</v>
      </c>
      <c r="AE37" s="551">
        <f t="shared" si="9"/>
        <v>0</v>
      </c>
      <c r="AF37" s="542">
        <f t="shared" si="10"/>
        <v>0</v>
      </c>
      <c r="AG37" s="36">
        <f t="shared" si="11"/>
        <v>0</v>
      </c>
      <c r="AH37" s="86"/>
      <c r="AI37" s="36"/>
      <c r="AJ37" s="542">
        <f t="shared" si="12"/>
        <v>0</v>
      </c>
      <c r="AK37" s="36">
        <f t="shared" si="13"/>
        <v>0</v>
      </c>
      <c r="AL37" s="831"/>
      <c r="AM37" s="36">
        <f t="shared" si="14"/>
        <v>0</v>
      </c>
      <c r="AN37" s="86"/>
      <c r="AO37" s="34" t="str">
        <f t="shared" si="15"/>
        <v>.</v>
      </c>
      <c r="AP37" s="86"/>
      <c r="AQ37" s="36"/>
      <c r="AR37" s="544">
        <f t="shared" si="16"/>
        <v>0</v>
      </c>
      <c r="AS37" s="36">
        <f t="shared" si="17"/>
        <v>0</v>
      </c>
      <c r="AT37" s="544">
        <f>IF(PF!R33&gt;0,(CA37),0)</f>
        <v>0</v>
      </c>
      <c r="AU37" s="36">
        <f t="shared" si="18"/>
        <v>0</v>
      </c>
      <c r="AV37" s="545">
        <f t="shared" si="19"/>
        <v>0</v>
      </c>
      <c r="AW37" s="36"/>
      <c r="AX37" s="543">
        <f t="shared" si="20"/>
        <v>0</v>
      </c>
      <c r="AY37" s="36">
        <f t="shared" si="21"/>
        <v>0</v>
      </c>
      <c r="AZ37" s="544">
        <f t="shared" si="22"/>
        <v>0</v>
      </c>
      <c r="BA37" s="907">
        <f t="shared" si="23"/>
        <v>0</v>
      </c>
      <c r="BB37" s="951">
        <f>(BA37-AY37)*'E S'!$F$47</f>
        <v>0</v>
      </c>
      <c r="BC37" s="952"/>
      <c r="BD37" s="953">
        <f t="shared" si="38"/>
        <v>0</v>
      </c>
      <c r="BE37" s="954"/>
      <c r="BF37" s="953">
        <f t="shared" si="24"/>
        <v>0</v>
      </c>
      <c r="BG37" s="954">
        <f t="shared" si="25"/>
        <v>0</v>
      </c>
      <c r="BH37" s="952"/>
      <c r="BI37" s="952"/>
      <c r="BJ37" s="955"/>
      <c r="BK37" s="955">
        <v>1</v>
      </c>
      <c r="BL37" s="956">
        <f t="shared" si="26"/>
        <v>0</v>
      </c>
      <c r="BM37" s="955">
        <v>2</v>
      </c>
      <c r="BN37" s="956">
        <f t="shared" si="27"/>
        <v>0</v>
      </c>
      <c r="BO37" s="955">
        <v>3</v>
      </c>
      <c r="BP37" s="956">
        <f t="shared" si="28"/>
        <v>0</v>
      </c>
      <c r="BQ37" s="955">
        <v>4</v>
      </c>
      <c r="BR37" s="956">
        <f t="shared" si="39"/>
        <v>0</v>
      </c>
      <c r="BS37" s="955">
        <v>5</v>
      </c>
      <c r="BT37" s="956">
        <f t="shared" si="29"/>
        <v>0</v>
      </c>
      <c r="BU37" s="955"/>
      <c r="BV37" s="957">
        <f t="shared" si="30"/>
        <v>0</v>
      </c>
      <c r="BW37" s="957">
        <f t="shared" si="31"/>
        <v>0</v>
      </c>
      <c r="BX37" s="955">
        <f t="shared" si="32"/>
        <v>0</v>
      </c>
      <c r="BY37" s="958">
        <f t="shared" si="33"/>
        <v>0</v>
      </c>
      <c r="BZ37" s="959">
        <f t="shared" si="34"/>
        <v>0</v>
      </c>
      <c r="CA37" s="960">
        <f t="shared" si="35"/>
        <v>0</v>
      </c>
      <c r="CB37" s="960">
        <f t="shared" si="40"/>
        <v>0</v>
      </c>
      <c r="CC37" s="960">
        <f t="shared" si="36"/>
        <v>0</v>
      </c>
      <c r="CD37" s="954">
        <f t="shared" si="37"/>
        <v>0</v>
      </c>
      <c r="CE37" s="908"/>
      <c r="CF37" s="908"/>
      <c r="CG37" s="729"/>
      <c r="CH37" s="729"/>
      <c r="CI37" s="729"/>
      <c r="CJ37" s="729"/>
      <c r="CK37" s="729"/>
      <c r="CL37" s="729"/>
      <c r="CM37" s="729"/>
      <c r="CN37" s="729"/>
    </row>
    <row r="38" spans="1:92" s="3" customFormat="1" ht="12" hidden="1">
      <c r="A38" s="870">
        <v>28</v>
      </c>
      <c r="B38" s="71"/>
      <c r="C38" s="873"/>
      <c r="D38" s="71"/>
      <c r="F38" s="71"/>
      <c r="H38" s="74"/>
      <c r="I38" s="34" t="str">
        <f t="shared" si="0"/>
        <v>.</v>
      </c>
      <c r="J38" s="74"/>
      <c r="K38" s="76"/>
      <c r="L38" s="916"/>
      <c r="M38" s="57"/>
      <c r="N38" s="549">
        <f t="shared" si="1"/>
        <v>0</v>
      </c>
      <c r="O38" s="57"/>
      <c r="P38" s="81"/>
      <c r="Q38" s="77">
        <f t="shared" si="2"/>
        <v>0</v>
      </c>
      <c r="R38" s="78"/>
      <c r="S38" s="37">
        <f t="shared" si="3"/>
        <v>0</v>
      </c>
      <c r="T38" s="82"/>
      <c r="U38" s="83">
        <f t="shared" si="4"/>
        <v>0</v>
      </c>
      <c r="V38" s="84"/>
      <c r="W38" s="57"/>
      <c r="X38" s="85"/>
      <c r="Z38" s="542">
        <f t="shared" si="5"/>
        <v>0</v>
      </c>
      <c r="AA38" s="36">
        <f t="shared" si="6"/>
        <v>0</v>
      </c>
      <c r="AB38" s="550"/>
      <c r="AC38" s="551">
        <f t="shared" si="7"/>
        <v>0</v>
      </c>
      <c r="AD38" s="542">
        <f t="shared" si="8"/>
        <v>0</v>
      </c>
      <c r="AE38" s="551">
        <f t="shared" si="9"/>
        <v>0</v>
      </c>
      <c r="AF38" s="542">
        <f t="shared" si="10"/>
        <v>0</v>
      </c>
      <c r="AG38" s="36">
        <f t="shared" si="11"/>
        <v>0</v>
      </c>
      <c r="AH38" s="86"/>
      <c r="AI38" s="36"/>
      <c r="AJ38" s="542">
        <f t="shared" si="12"/>
        <v>0</v>
      </c>
      <c r="AK38" s="36">
        <f t="shared" si="13"/>
        <v>0</v>
      </c>
      <c r="AL38" s="831"/>
      <c r="AM38" s="36">
        <f t="shared" si="14"/>
        <v>0</v>
      </c>
      <c r="AN38" s="86"/>
      <c r="AO38" s="34" t="str">
        <f t="shared" si="15"/>
        <v>.</v>
      </c>
      <c r="AP38" s="86"/>
      <c r="AQ38" s="36"/>
      <c r="AR38" s="544">
        <f t="shared" si="16"/>
        <v>0</v>
      </c>
      <c r="AS38" s="36">
        <f t="shared" si="17"/>
        <v>0</v>
      </c>
      <c r="AT38" s="544">
        <f>IF(PF!R34&gt;0,(CA38),0)</f>
        <v>0</v>
      </c>
      <c r="AU38" s="36">
        <f t="shared" si="18"/>
        <v>0</v>
      </c>
      <c r="AV38" s="545">
        <f t="shared" si="19"/>
        <v>0</v>
      </c>
      <c r="AW38" s="36"/>
      <c r="AX38" s="543">
        <f t="shared" si="20"/>
        <v>0</v>
      </c>
      <c r="AY38" s="36">
        <f t="shared" si="21"/>
        <v>0</v>
      </c>
      <c r="AZ38" s="544">
        <f t="shared" si="22"/>
        <v>0</v>
      </c>
      <c r="BA38" s="907">
        <f t="shared" si="23"/>
        <v>0</v>
      </c>
      <c r="BB38" s="951">
        <f>(BA38-AY38)*'E S'!$F$47</f>
        <v>0</v>
      </c>
      <c r="BC38" s="952"/>
      <c r="BD38" s="953">
        <f t="shared" si="38"/>
        <v>0</v>
      </c>
      <c r="BE38" s="954"/>
      <c r="BF38" s="953">
        <f t="shared" si="24"/>
        <v>0</v>
      </c>
      <c r="BG38" s="954">
        <f t="shared" si="25"/>
        <v>0</v>
      </c>
      <c r="BH38" s="952"/>
      <c r="BI38" s="952"/>
      <c r="BJ38" s="955"/>
      <c r="BK38" s="955">
        <v>1</v>
      </c>
      <c r="BL38" s="956">
        <f t="shared" si="26"/>
        <v>0</v>
      </c>
      <c r="BM38" s="955">
        <v>2</v>
      </c>
      <c r="BN38" s="956">
        <f t="shared" si="27"/>
        <v>0</v>
      </c>
      <c r="BO38" s="955">
        <v>3</v>
      </c>
      <c r="BP38" s="956">
        <f t="shared" si="28"/>
        <v>0</v>
      </c>
      <c r="BQ38" s="955">
        <v>4</v>
      </c>
      <c r="BR38" s="956">
        <f t="shared" si="39"/>
        <v>0</v>
      </c>
      <c r="BS38" s="955">
        <v>5</v>
      </c>
      <c r="BT38" s="956">
        <f t="shared" si="29"/>
        <v>0</v>
      </c>
      <c r="BU38" s="955"/>
      <c r="BV38" s="957">
        <f t="shared" si="30"/>
        <v>0</v>
      </c>
      <c r="BW38" s="957">
        <f t="shared" si="31"/>
        <v>0</v>
      </c>
      <c r="BX38" s="955">
        <f t="shared" si="32"/>
        <v>0</v>
      </c>
      <c r="BY38" s="958">
        <f t="shared" si="33"/>
        <v>0</v>
      </c>
      <c r="BZ38" s="959">
        <f t="shared" si="34"/>
        <v>0</v>
      </c>
      <c r="CA38" s="960">
        <f t="shared" si="35"/>
        <v>0</v>
      </c>
      <c r="CB38" s="960">
        <f t="shared" si="40"/>
        <v>0</v>
      </c>
      <c r="CC38" s="960">
        <f t="shared" si="36"/>
        <v>0</v>
      </c>
      <c r="CD38" s="954">
        <f t="shared" si="37"/>
        <v>0</v>
      </c>
      <c r="CE38" s="908"/>
      <c r="CF38" s="908"/>
      <c r="CG38" s="729"/>
      <c r="CH38" s="729"/>
      <c r="CI38" s="729"/>
      <c r="CJ38" s="729"/>
      <c r="CK38" s="729"/>
      <c r="CL38" s="729"/>
      <c r="CM38" s="729"/>
      <c r="CN38" s="729"/>
    </row>
    <row r="39" spans="1:92" s="3" customFormat="1" ht="12" hidden="1">
      <c r="A39" s="870">
        <v>29</v>
      </c>
      <c r="B39" s="71"/>
      <c r="C39" s="873"/>
      <c r="D39" s="71"/>
      <c r="F39" s="71"/>
      <c r="H39" s="74"/>
      <c r="I39" s="34"/>
      <c r="J39" s="74"/>
      <c r="K39" s="76"/>
      <c r="L39" s="916"/>
      <c r="M39" s="57"/>
      <c r="N39" s="549">
        <f t="shared" si="1"/>
        <v>0</v>
      </c>
      <c r="O39" s="57"/>
      <c r="P39" s="81"/>
      <c r="Q39" s="77">
        <f t="shared" si="2"/>
        <v>0</v>
      </c>
      <c r="R39" s="78"/>
      <c r="S39" s="37">
        <f t="shared" si="3"/>
        <v>0</v>
      </c>
      <c r="T39" s="82"/>
      <c r="U39" s="83">
        <f t="shared" si="4"/>
        <v>0</v>
      </c>
      <c r="V39" s="84"/>
      <c r="W39" s="57"/>
      <c r="X39" s="85"/>
      <c r="Z39" s="542">
        <f t="shared" si="5"/>
        <v>0</v>
      </c>
      <c r="AA39" s="36">
        <f t="shared" si="6"/>
        <v>0</v>
      </c>
      <c r="AB39" s="550"/>
      <c r="AC39" s="551">
        <f t="shared" si="7"/>
        <v>0</v>
      </c>
      <c r="AD39" s="542">
        <f t="shared" si="8"/>
        <v>0</v>
      </c>
      <c r="AE39" s="551">
        <f t="shared" si="9"/>
        <v>0</v>
      </c>
      <c r="AF39" s="542">
        <f t="shared" si="10"/>
        <v>0</v>
      </c>
      <c r="AG39" s="36">
        <f t="shared" si="11"/>
        <v>0</v>
      </c>
      <c r="AH39" s="86"/>
      <c r="AI39" s="36"/>
      <c r="AJ39" s="542">
        <f t="shared" si="12"/>
        <v>0</v>
      </c>
      <c r="AK39" s="36">
        <f t="shared" si="13"/>
        <v>0</v>
      </c>
      <c r="AL39" s="831"/>
      <c r="AM39" s="36">
        <f t="shared" si="14"/>
        <v>0</v>
      </c>
      <c r="AN39" s="86"/>
      <c r="AO39" s="34" t="str">
        <f t="shared" si="15"/>
        <v>.</v>
      </c>
      <c r="AP39" s="86"/>
      <c r="AQ39" s="36"/>
      <c r="AR39" s="544">
        <f t="shared" si="16"/>
        <v>0</v>
      </c>
      <c r="AS39" s="36">
        <f t="shared" si="17"/>
        <v>0</v>
      </c>
      <c r="AT39" s="544">
        <f>IF(PF!R35&gt;0,(CA39),0)</f>
        <v>0</v>
      </c>
      <c r="AU39" s="36">
        <f t="shared" si="18"/>
        <v>0</v>
      </c>
      <c r="AV39" s="545">
        <f t="shared" si="19"/>
        <v>0</v>
      </c>
      <c r="AW39" s="36"/>
      <c r="AX39" s="543">
        <f t="shared" si="20"/>
        <v>0</v>
      </c>
      <c r="AY39" s="36">
        <f t="shared" si="21"/>
        <v>0</v>
      </c>
      <c r="AZ39" s="544">
        <f t="shared" si="22"/>
        <v>0</v>
      </c>
      <c r="BA39" s="907">
        <f t="shared" si="23"/>
        <v>0</v>
      </c>
      <c r="BB39" s="951">
        <f>(BA39-AY39)*'E S'!$F$47</f>
        <v>0</v>
      </c>
      <c r="BC39" s="952"/>
      <c r="BD39" s="953">
        <f t="shared" si="38"/>
        <v>0</v>
      </c>
      <c r="BE39" s="954"/>
      <c r="BF39" s="953">
        <f t="shared" si="24"/>
        <v>0</v>
      </c>
      <c r="BG39" s="954">
        <f t="shared" si="25"/>
        <v>0</v>
      </c>
      <c r="BH39" s="952"/>
      <c r="BI39" s="952"/>
      <c r="BJ39" s="955"/>
      <c r="BK39" s="955">
        <v>1</v>
      </c>
      <c r="BL39" s="956">
        <f t="shared" si="26"/>
        <v>0</v>
      </c>
      <c r="BM39" s="955">
        <v>2</v>
      </c>
      <c r="BN39" s="956">
        <f t="shared" si="27"/>
        <v>0</v>
      </c>
      <c r="BO39" s="955">
        <v>3</v>
      </c>
      <c r="BP39" s="956">
        <f t="shared" si="28"/>
        <v>0</v>
      </c>
      <c r="BQ39" s="955">
        <v>4</v>
      </c>
      <c r="BR39" s="956">
        <f t="shared" si="39"/>
        <v>0</v>
      </c>
      <c r="BS39" s="955">
        <v>5</v>
      </c>
      <c r="BT39" s="956">
        <f t="shared" si="29"/>
        <v>0</v>
      </c>
      <c r="BU39" s="955"/>
      <c r="BV39" s="957">
        <f t="shared" si="30"/>
        <v>0</v>
      </c>
      <c r="BW39" s="957">
        <f t="shared" si="31"/>
        <v>0</v>
      </c>
      <c r="BX39" s="955">
        <f t="shared" si="32"/>
        <v>0</v>
      </c>
      <c r="BY39" s="958">
        <f t="shared" si="33"/>
        <v>0</v>
      </c>
      <c r="BZ39" s="959">
        <f t="shared" si="34"/>
        <v>0</v>
      </c>
      <c r="CA39" s="960">
        <f t="shared" si="35"/>
        <v>0</v>
      </c>
      <c r="CB39" s="960">
        <f t="shared" si="40"/>
        <v>0</v>
      </c>
      <c r="CC39" s="960">
        <f t="shared" si="36"/>
        <v>0</v>
      </c>
      <c r="CD39" s="954">
        <f t="shared" si="37"/>
        <v>0</v>
      </c>
      <c r="CE39" s="908"/>
      <c r="CF39" s="908"/>
      <c r="CG39" s="729"/>
      <c r="CH39" s="729"/>
      <c r="CI39" s="729"/>
      <c r="CJ39" s="729"/>
      <c r="CK39" s="729"/>
      <c r="CL39" s="729"/>
      <c r="CM39" s="729"/>
      <c r="CN39" s="729"/>
    </row>
    <row r="40" spans="1:92" s="3" customFormat="1" ht="12" hidden="1">
      <c r="A40" s="870">
        <v>30</v>
      </c>
      <c r="B40" s="71"/>
      <c r="C40" s="873"/>
      <c r="D40" s="71"/>
      <c r="F40" s="71"/>
      <c r="H40" s="74"/>
      <c r="I40" s="34" t="str">
        <f>IF(H40&gt;0,"às",".")</f>
        <v>.</v>
      </c>
      <c r="J40" s="74"/>
      <c r="K40" s="76"/>
      <c r="L40" s="916"/>
      <c r="M40" s="57"/>
      <c r="N40" s="549">
        <f t="shared" si="1"/>
        <v>0</v>
      </c>
      <c r="O40" s="57"/>
      <c r="P40" s="71"/>
      <c r="Q40" s="77">
        <f t="shared" si="2"/>
        <v>0</v>
      </c>
      <c r="R40" s="78"/>
      <c r="S40" s="37">
        <f t="shared" si="3"/>
        <v>0</v>
      </c>
      <c r="T40" s="82"/>
      <c r="U40" s="83">
        <f t="shared" si="4"/>
        <v>0</v>
      </c>
      <c r="V40" s="84"/>
      <c r="W40" s="57"/>
      <c r="X40" s="85"/>
      <c r="Z40" s="542">
        <f t="shared" si="5"/>
        <v>0</v>
      </c>
      <c r="AA40" s="36">
        <f t="shared" si="6"/>
        <v>0</v>
      </c>
      <c r="AB40" s="550"/>
      <c r="AC40" s="551">
        <f t="shared" si="7"/>
        <v>0</v>
      </c>
      <c r="AD40" s="542">
        <f t="shared" si="8"/>
        <v>0</v>
      </c>
      <c r="AE40" s="551">
        <f t="shared" si="9"/>
        <v>0</v>
      </c>
      <c r="AF40" s="542">
        <f t="shared" si="10"/>
        <v>0</v>
      </c>
      <c r="AG40" s="36">
        <f t="shared" si="11"/>
        <v>0</v>
      </c>
      <c r="AH40" s="86"/>
      <c r="AI40" s="36"/>
      <c r="AJ40" s="542">
        <f t="shared" si="12"/>
        <v>0</v>
      </c>
      <c r="AK40" s="36">
        <f t="shared" si="13"/>
        <v>0</v>
      </c>
      <c r="AL40" s="831"/>
      <c r="AM40" s="36">
        <f t="shared" si="14"/>
        <v>0</v>
      </c>
      <c r="AN40" s="86"/>
      <c r="AO40" s="34" t="str">
        <f t="shared" si="15"/>
        <v>.</v>
      </c>
      <c r="AP40" s="86"/>
      <c r="AQ40" s="36"/>
      <c r="AR40" s="544">
        <f t="shared" si="16"/>
        <v>0</v>
      </c>
      <c r="AS40" s="36">
        <f t="shared" si="17"/>
        <v>0</v>
      </c>
      <c r="AT40" s="544">
        <f>IF(PF!R36&gt;0,(CA40),0)</f>
        <v>0</v>
      </c>
      <c r="AU40" s="36">
        <f t="shared" si="18"/>
        <v>0</v>
      </c>
      <c r="AV40" s="545">
        <f t="shared" si="19"/>
        <v>0</v>
      </c>
      <c r="AW40" s="36"/>
      <c r="AX40" s="543">
        <f t="shared" si="20"/>
        <v>0</v>
      </c>
      <c r="AY40" s="36">
        <f t="shared" si="21"/>
        <v>0</v>
      </c>
      <c r="AZ40" s="544">
        <f t="shared" si="22"/>
        <v>0</v>
      </c>
      <c r="BA40" s="907">
        <f t="shared" si="23"/>
        <v>0</v>
      </c>
      <c r="BB40" s="951">
        <f>(BA40-AY40)*'E S'!$F$47</f>
        <v>0</v>
      </c>
      <c r="BC40" s="952"/>
      <c r="BD40" s="953">
        <f t="shared" si="38"/>
        <v>0</v>
      </c>
      <c r="BE40" s="954"/>
      <c r="BF40" s="953">
        <f t="shared" si="24"/>
        <v>0</v>
      </c>
      <c r="BG40" s="954">
        <f t="shared" si="25"/>
        <v>0</v>
      </c>
      <c r="BH40" s="952"/>
      <c r="BI40" s="952"/>
      <c r="BJ40" s="955"/>
      <c r="BK40" s="955">
        <v>1</v>
      </c>
      <c r="BL40" s="956">
        <f t="shared" si="26"/>
        <v>0</v>
      </c>
      <c r="BM40" s="955">
        <v>2</v>
      </c>
      <c r="BN40" s="956">
        <f t="shared" si="27"/>
        <v>0</v>
      </c>
      <c r="BO40" s="955">
        <v>3</v>
      </c>
      <c r="BP40" s="956">
        <f t="shared" si="28"/>
        <v>0</v>
      </c>
      <c r="BQ40" s="955">
        <v>4</v>
      </c>
      <c r="BR40" s="956">
        <f t="shared" si="39"/>
        <v>0</v>
      </c>
      <c r="BS40" s="955">
        <v>5</v>
      </c>
      <c r="BT40" s="956">
        <f t="shared" si="29"/>
        <v>0</v>
      </c>
      <c r="BU40" s="955"/>
      <c r="BV40" s="957">
        <f t="shared" si="30"/>
        <v>0</v>
      </c>
      <c r="BW40" s="957">
        <f t="shared" si="31"/>
        <v>0</v>
      </c>
      <c r="BX40" s="955">
        <f t="shared" si="32"/>
        <v>0</v>
      </c>
      <c r="BY40" s="958">
        <f t="shared" si="33"/>
        <v>0</v>
      </c>
      <c r="BZ40" s="959">
        <f t="shared" si="34"/>
        <v>0</v>
      </c>
      <c r="CA40" s="960">
        <f t="shared" si="35"/>
        <v>0</v>
      </c>
      <c r="CB40" s="960">
        <f t="shared" si="40"/>
        <v>0</v>
      </c>
      <c r="CC40" s="960">
        <f t="shared" si="36"/>
        <v>0</v>
      </c>
      <c r="CD40" s="954">
        <f t="shared" si="37"/>
        <v>0</v>
      </c>
      <c r="CE40" s="908"/>
      <c r="CF40" s="908"/>
      <c r="CG40" s="729"/>
      <c r="CH40" s="729"/>
      <c r="CI40" s="729"/>
      <c r="CJ40" s="729"/>
      <c r="CK40" s="729"/>
      <c r="CL40" s="729"/>
      <c r="CM40" s="729"/>
      <c r="CN40" s="729"/>
    </row>
    <row r="41" spans="1:92" s="3" customFormat="1" ht="12" hidden="1">
      <c r="A41" s="870">
        <v>31</v>
      </c>
      <c r="B41" s="71"/>
      <c r="C41" s="873"/>
      <c r="D41" s="71"/>
      <c r="F41" s="71"/>
      <c r="H41" s="74"/>
      <c r="I41" s="34" t="str">
        <f>IF(H41&gt;0,"às",".")</f>
        <v>.</v>
      </c>
      <c r="J41" s="74"/>
      <c r="K41" s="76"/>
      <c r="L41" s="916"/>
      <c r="M41" s="57"/>
      <c r="N41" s="549">
        <f t="shared" si="1"/>
        <v>0</v>
      </c>
      <c r="O41" s="57"/>
      <c r="P41" s="81"/>
      <c r="Q41" s="77">
        <f t="shared" si="2"/>
        <v>0</v>
      </c>
      <c r="R41" s="78"/>
      <c r="S41" s="37">
        <f t="shared" si="3"/>
        <v>0</v>
      </c>
      <c r="T41" s="82"/>
      <c r="U41" s="83">
        <f t="shared" si="4"/>
        <v>0</v>
      </c>
      <c r="V41" s="84"/>
      <c r="W41" s="57"/>
      <c r="X41" s="85"/>
      <c r="Z41" s="542">
        <f t="shared" si="5"/>
        <v>0</v>
      </c>
      <c r="AA41" s="36">
        <f t="shared" si="6"/>
        <v>0</v>
      </c>
      <c r="AB41" s="550"/>
      <c r="AC41" s="551">
        <f t="shared" si="7"/>
        <v>0</v>
      </c>
      <c r="AD41" s="542">
        <f t="shared" si="8"/>
        <v>0</v>
      </c>
      <c r="AE41" s="551">
        <f t="shared" si="9"/>
        <v>0</v>
      </c>
      <c r="AF41" s="542">
        <f t="shared" si="10"/>
        <v>0</v>
      </c>
      <c r="AG41" s="36">
        <f t="shared" si="11"/>
        <v>0</v>
      </c>
      <c r="AH41" s="86"/>
      <c r="AI41" s="36"/>
      <c r="AJ41" s="542">
        <f t="shared" si="12"/>
        <v>0</v>
      </c>
      <c r="AK41" s="36">
        <f t="shared" si="13"/>
        <v>0</v>
      </c>
      <c r="AL41" s="831"/>
      <c r="AM41" s="36">
        <f t="shared" si="14"/>
        <v>0</v>
      </c>
      <c r="AN41" s="86"/>
      <c r="AO41" s="34" t="str">
        <f t="shared" si="15"/>
        <v>.</v>
      </c>
      <c r="AP41" s="86"/>
      <c r="AQ41" s="36"/>
      <c r="AR41" s="544">
        <f t="shared" si="16"/>
        <v>0</v>
      </c>
      <c r="AS41" s="36">
        <f t="shared" si="17"/>
        <v>0</v>
      </c>
      <c r="AT41" s="544">
        <f>IF(PF!R37&gt;0,(CA41),0)</f>
        <v>0</v>
      </c>
      <c r="AU41" s="36">
        <f t="shared" si="18"/>
        <v>0</v>
      </c>
      <c r="AV41" s="545">
        <f t="shared" si="19"/>
        <v>0</v>
      </c>
      <c r="AW41" s="36"/>
      <c r="AX41" s="543">
        <f t="shared" si="20"/>
        <v>0</v>
      </c>
      <c r="AY41" s="36">
        <f t="shared" si="21"/>
        <v>0</v>
      </c>
      <c r="AZ41" s="544">
        <f t="shared" si="22"/>
        <v>0</v>
      </c>
      <c r="BA41" s="907">
        <f t="shared" si="23"/>
        <v>0</v>
      </c>
      <c r="BB41" s="951">
        <f>(BA41-AY41)*'E S'!$F$47</f>
        <v>0</v>
      </c>
      <c r="BC41" s="952"/>
      <c r="BD41" s="953">
        <f t="shared" si="38"/>
        <v>0</v>
      </c>
      <c r="BE41" s="954"/>
      <c r="BF41" s="953">
        <f t="shared" si="24"/>
        <v>0</v>
      </c>
      <c r="BG41" s="954">
        <f t="shared" si="25"/>
        <v>0</v>
      </c>
      <c r="BH41" s="952"/>
      <c r="BI41" s="952"/>
      <c r="BJ41" s="955"/>
      <c r="BK41" s="955">
        <v>1</v>
      </c>
      <c r="BL41" s="956">
        <f t="shared" si="26"/>
        <v>0</v>
      </c>
      <c r="BM41" s="955">
        <v>2</v>
      </c>
      <c r="BN41" s="956">
        <f t="shared" si="27"/>
        <v>0</v>
      </c>
      <c r="BO41" s="955">
        <v>3</v>
      </c>
      <c r="BP41" s="956">
        <f t="shared" si="28"/>
        <v>0</v>
      </c>
      <c r="BQ41" s="955">
        <v>4</v>
      </c>
      <c r="BR41" s="956">
        <f t="shared" si="39"/>
        <v>0</v>
      </c>
      <c r="BS41" s="955">
        <v>5</v>
      </c>
      <c r="BT41" s="956">
        <f t="shared" si="29"/>
        <v>0</v>
      </c>
      <c r="BU41" s="955"/>
      <c r="BV41" s="957">
        <f t="shared" si="30"/>
        <v>0</v>
      </c>
      <c r="BW41" s="957">
        <f t="shared" si="31"/>
        <v>0</v>
      </c>
      <c r="BX41" s="955">
        <f t="shared" si="32"/>
        <v>0</v>
      </c>
      <c r="BY41" s="958">
        <f t="shared" si="33"/>
        <v>0</v>
      </c>
      <c r="BZ41" s="959">
        <f t="shared" si="34"/>
        <v>0</v>
      </c>
      <c r="CA41" s="960">
        <f t="shared" si="35"/>
        <v>0</v>
      </c>
      <c r="CB41" s="960">
        <f t="shared" si="40"/>
        <v>0</v>
      </c>
      <c r="CC41" s="960">
        <f t="shared" si="36"/>
        <v>0</v>
      </c>
      <c r="CD41" s="954">
        <f t="shared" si="37"/>
        <v>0</v>
      </c>
      <c r="CE41" s="908"/>
      <c r="CF41" s="908"/>
      <c r="CG41" s="729"/>
      <c r="CH41" s="729"/>
      <c r="CI41" s="729"/>
      <c r="CJ41" s="729"/>
      <c r="CK41" s="729"/>
      <c r="CL41" s="729"/>
      <c r="CM41" s="729"/>
      <c r="CN41" s="729"/>
    </row>
    <row r="42" spans="1:92" s="3" customFormat="1" ht="12" hidden="1">
      <c r="A42" s="870">
        <v>32</v>
      </c>
      <c r="B42" s="71"/>
      <c r="C42" s="873"/>
      <c r="D42" s="71"/>
      <c r="F42" s="71"/>
      <c r="H42" s="74"/>
      <c r="I42" s="34" t="str">
        <f>IF(H42&gt;0,"às",".")</f>
        <v>.</v>
      </c>
      <c r="J42" s="74"/>
      <c r="K42" s="76"/>
      <c r="L42" s="916"/>
      <c r="M42" s="57"/>
      <c r="N42" s="549">
        <f t="shared" si="1"/>
        <v>0</v>
      </c>
      <c r="O42" s="57"/>
      <c r="P42" s="71"/>
      <c r="Q42" s="77">
        <f t="shared" si="2"/>
        <v>0</v>
      </c>
      <c r="R42" s="78"/>
      <c r="S42" s="37">
        <f t="shared" si="3"/>
        <v>0</v>
      </c>
      <c r="T42" s="82"/>
      <c r="U42" s="83">
        <f t="shared" si="4"/>
        <v>0</v>
      </c>
      <c r="V42" s="84"/>
      <c r="W42" s="57"/>
      <c r="X42" s="85"/>
      <c r="Z42" s="542">
        <f t="shared" si="5"/>
        <v>0</v>
      </c>
      <c r="AA42" s="36">
        <f t="shared" si="6"/>
        <v>0</v>
      </c>
      <c r="AB42" s="550"/>
      <c r="AC42" s="551">
        <f t="shared" si="7"/>
        <v>0</v>
      </c>
      <c r="AD42" s="542">
        <f t="shared" si="8"/>
        <v>0</v>
      </c>
      <c r="AE42" s="551">
        <f t="shared" si="9"/>
        <v>0</v>
      </c>
      <c r="AF42" s="542">
        <f t="shared" si="10"/>
        <v>0</v>
      </c>
      <c r="AG42" s="36">
        <f t="shared" si="11"/>
        <v>0</v>
      </c>
      <c r="AH42" s="86"/>
      <c r="AI42" s="36"/>
      <c r="AJ42" s="542">
        <f t="shared" si="12"/>
        <v>0</v>
      </c>
      <c r="AK42" s="36">
        <f t="shared" si="13"/>
        <v>0</v>
      </c>
      <c r="AL42" s="831"/>
      <c r="AM42" s="36">
        <f t="shared" si="14"/>
        <v>0</v>
      </c>
      <c r="AN42" s="86"/>
      <c r="AO42" s="34" t="str">
        <f t="shared" si="15"/>
        <v>.</v>
      </c>
      <c r="AP42" s="86"/>
      <c r="AQ42" s="36"/>
      <c r="AR42" s="544">
        <f t="shared" si="16"/>
        <v>0</v>
      </c>
      <c r="AS42" s="36">
        <f t="shared" si="17"/>
        <v>0</v>
      </c>
      <c r="AT42" s="544">
        <f>IF(PF!R38&gt;0,(CA42),0)</f>
        <v>0</v>
      </c>
      <c r="AU42" s="36">
        <f t="shared" si="18"/>
        <v>0</v>
      </c>
      <c r="AV42" s="545">
        <f t="shared" si="19"/>
        <v>0</v>
      </c>
      <c r="AW42" s="36"/>
      <c r="AX42" s="543">
        <f t="shared" si="20"/>
        <v>0</v>
      </c>
      <c r="AY42" s="36">
        <f t="shared" si="21"/>
        <v>0</v>
      </c>
      <c r="AZ42" s="544">
        <f t="shared" si="22"/>
        <v>0</v>
      </c>
      <c r="BA42" s="907">
        <f t="shared" si="23"/>
        <v>0</v>
      </c>
      <c r="BB42" s="951">
        <f>(BA42-AY42)*'E S'!$F$47</f>
        <v>0</v>
      </c>
      <c r="BC42" s="952"/>
      <c r="BD42" s="953">
        <f t="shared" si="38"/>
        <v>0</v>
      </c>
      <c r="BE42" s="954"/>
      <c r="BF42" s="953">
        <f t="shared" si="24"/>
        <v>0</v>
      </c>
      <c r="BG42" s="954">
        <f t="shared" si="25"/>
        <v>0</v>
      </c>
      <c r="BH42" s="952"/>
      <c r="BI42" s="952"/>
      <c r="BJ42" s="955"/>
      <c r="BK42" s="955">
        <v>1</v>
      </c>
      <c r="BL42" s="956">
        <f t="shared" si="26"/>
        <v>0</v>
      </c>
      <c r="BM42" s="955">
        <v>2</v>
      </c>
      <c r="BN42" s="956">
        <f t="shared" si="27"/>
        <v>0</v>
      </c>
      <c r="BO42" s="955">
        <v>3</v>
      </c>
      <c r="BP42" s="956">
        <f t="shared" si="28"/>
        <v>0</v>
      </c>
      <c r="BQ42" s="955">
        <v>4</v>
      </c>
      <c r="BR42" s="956">
        <f t="shared" si="39"/>
        <v>0</v>
      </c>
      <c r="BS42" s="955">
        <v>5</v>
      </c>
      <c r="BT42" s="956">
        <f t="shared" si="29"/>
        <v>0</v>
      </c>
      <c r="BU42" s="955"/>
      <c r="BV42" s="957">
        <f t="shared" si="30"/>
        <v>0</v>
      </c>
      <c r="BW42" s="957">
        <f t="shared" si="31"/>
        <v>0</v>
      </c>
      <c r="BX42" s="955">
        <f t="shared" si="32"/>
        <v>0</v>
      </c>
      <c r="BY42" s="958">
        <f t="shared" si="33"/>
        <v>0</v>
      </c>
      <c r="BZ42" s="959">
        <f t="shared" si="34"/>
        <v>0</v>
      </c>
      <c r="CA42" s="960">
        <f t="shared" si="35"/>
        <v>0</v>
      </c>
      <c r="CB42" s="960">
        <f t="shared" si="40"/>
        <v>0</v>
      </c>
      <c r="CC42" s="960">
        <f t="shared" si="36"/>
        <v>0</v>
      </c>
      <c r="CD42" s="954">
        <f t="shared" si="37"/>
        <v>0</v>
      </c>
      <c r="CE42" s="908"/>
      <c r="CF42" s="908"/>
      <c r="CG42" s="729"/>
      <c r="CH42" s="729"/>
      <c r="CI42" s="729"/>
      <c r="CJ42" s="729"/>
      <c r="CK42" s="729"/>
      <c r="CL42" s="729"/>
      <c r="CM42" s="729"/>
      <c r="CN42" s="729"/>
    </row>
    <row r="43" spans="1:92" s="3" customFormat="1" ht="12" hidden="1">
      <c r="A43" s="870">
        <v>33</v>
      </c>
      <c r="B43" s="71"/>
      <c r="C43" s="873"/>
      <c r="D43" s="71"/>
      <c r="F43" s="71"/>
      <c r="H43" s="73"/>
      <c r="I43" s="34" t="str">
        <f>IF(H43&gt;0,"às",".")</f>
        <v>.</v>
      </c>
      <c r="J43" s="74"/>
      <c r="K43" s="76"/>
      <c r="L43" s="916"/>
      <c r="M43" s="57"/>
      <c r="N43" s="549">
        <f t="shared" si="1"/>
        <v>0</v>
      </c>
      <c r="O43" s="57"/>
      <c r="P43" s="71"/>
      <c r="Q43" s="77">
        <f t="shared" si="2"/>
        <v>0</v>
      </c>
      <c r="R43" s="78"/>
      <c r="S43" s="37">
        <f t="shared" si="3"/>
        <v>0</v>
      </c>
      <c r="T43" s="82"/>
      <c r="U43" s="83">
        <f t="shared" si="4"/>
        <v>0</v>
      </c>
      <c r="V43" s="84"/>
      <c r="W43" s="57"/>
      <c r="X43" s="85"/>
      <c r="Z43" s="542">
        <f t="shared" si="5"/>
        <v>0</v>
      </c>
      <c r="AA43" s="36">
        <f t="shared" si="6"/>
        <v>0</v>
      </c>
      <c r="AB43" s="550"/>
      <c r="AC43" s="551">
        <f t="shared" si="7"/>
        <v>0</v>
      </c>
      <c r="AD43" s="542">
        <f t="shared" si="8"/>
        <v>0</v>
      </c>
      <c r="AE43" s="551">
        <f t="shared" si="9"/>
        <v>0</v>
      </c>
      <c r="AF43" s="542">
        <f t="shared" si="10"/>
        <v>0</v>
      </c>
      <c r="AG43" s="36">
        <f t="shared" si="11"/>
        <v>0</v>
      </c>
      <c r="AH43" s="86"/>
      <c r="AI43" s="36"/>
      <c r="AJ43" s="542">
        <f t="shared" si="12"/>
        <v>0</v>
      </c>
      <c r="AK43" s="36">
        <f t="shared" si="13"/>
        <v>0</v>
      </c>
      <c r="AL43" s="831"/>
      <c r="AM43" s="36">
        <f t="shared" si="14"/>
        <v>0</v>
      </c>
      <c r="AN43" s="86"/>
      <c r="AO43" s="34" t="str">
        <f t="shared" si="15"/>
        <v>.</v>
      </c>
      <c r="AP43" s="86"/>
      <c r="AQ43" s="36"/>
      <c r="AR43" s="544">
        <f t="shared" si="16"/>
        <v>0</v>
      </c>
      <c r="AS43" s="36">
        <f t="shared" si="17"/>
        <v>0</v>
      </c>
      <c r="AT43" s="544">
        <f>IF(PF!R39&gt;0,(CA43),0)</f>
        <v>0</v>
      </c>
      <c r="AU43" s="36">
        <f t="shared" si="18"/>
        <v>0</v>
      </c>
      <c r="AV43" s="545">
        <f t="shared" si="19"/>
        <v>0</v>
      </c>
      <c r="AW43" s="36"/>
      <c r="AX43" s="543">
        <f t="shared" si="20"/>
        <v>0</v>
      </c>
      <c r="AY43" s="36">
        <f t="shared" si="21"/>
        <v>0</v>
      </c>
      <c r="AZ43" s="544">
        <f t="shared" si="22"/>
        <v>0</v>
      </c>
      <c r="BA43" s="907">
        <f t="shared" si="23"/>
        <v>0</v>
      </c>
      <c r="BB43" s="951">
        <f>(BA43-AY43)*'E S'!$F$47</f>
        <v>0</v>
      </c>
      <c r="BC43" s="952"/>
      <c r="BD43" s="953">
        <f t="shared" si="38"/>
        <v>0</v>
      </c>
      <c r="BE43" s="954"/>
      <c r="BF43" s="953">
        <f t="shared" si="24"/>
        <v>0</v>
      </c>
      <c r="BG43" s="954">
        <f t="shared" si="25"/>
        <v>0</v>
      </c>
      <c r="BH43" s="952"/>
      <c r="BI43" s="952"/>
      <c r="BJ43" s="955"/>
      <c r="BK43" s="955">
        <v>1</v>
      </c>
      <c r="BL43" s="956">
        <f t="shared" si="26"/>
        <v>0</v>
      </c>
      <c r="BM43" s="955">
        <v>2</v>
      </c>
      <c r="BN43" s="956">
        <f t="shared" si="27"/>
        <v>0</v>
      </c>
      <c r="BO43" s="955">
        <v>3</v>
      </c>
      <c r="BP43" s="956">
        <f t="shared" si="28"/>
        <v>0</v>
      </c>
      <c r="BQ43" s="955">
        <v>4</v>
      </c>
      <c r="BR43" s="956">
        <f t="shared" si="39"/>
        <v>0</v>
      </c>
      <c r="BS43" s="955">
        <v>5</v>
      </c>
      <c r="BT43" s="956">
        <f t="shared" si="29"/>
        <v>0</v>
      </c>
      <c r="BU43" s="955"/>
      <c r="BV43" s="957">
        <f t="shared" si="30"/>
        <v>0</v>
      </c>
      <c r="BW43" s="957">
        <f t="shared" si="31"/>
        <v>0</v>
      </c>
      <c r="BX43" s="955">
        <f t="shared" si="32"/>
        <v>0</v>
      </c>
      <c r="BY43" s="958">
        <f t="shared" si="33"/>
        <v>0</v>
      </c>
      <c r="BZ43" s="959">
        <f t="shared" si="34"/>
        <v>0</v>
      </c>
      <c r="CA43" s="960">
        <f t="shared" si="35"/>
        <v>0</v>
      </c>
      <c r="CB43" s="960">
        <f t="shared" si="40"/>
        <v>0</v>
      </c>
      <c r="CC43" s="960">
        <f t="shared" si="36"/>
        <v>0</v>
      </c>
      <c r="CD43" s="954">
        <f t="shared" si="37"/>
        <v>0</v>
      </c>
      <c r="CE43" s="908"/>
      <c r="CF43" s="908"/>
      <c r="CG43" s="729"/>
      <c r="CH43" s="729"/>
      <c r="CI43" s="729"/>
      <c r="CJ43" s="729"/>
      <c r="CK43" s="729"/>
      <c r="CL43" s="729"/>
      <c r="CM43" s="729"/>
      <c r="CN43" s="729"/>
    </row>
    <row r="44" spans="1:92" s="3" customFormat="1" ht="12" hidden="1">
      <c r="A44" s="870">
        <v>34</v>
      </c>
      <c r="B44" s="71"/>
      <c r="C44" s="873"/>
      <c r="D44" s="71"/>
      <c r="F44" s="71"/>
      <c r="H44" s="74"/>
      <c r="I44" s="34"/>
      <c r="J44" s="74"/>
      <c r="K44" s="76"/>
      <c r="L44" s="916"/>
      <c r="M44" s="57"/>
      <c r="N44" s="549">
        <f t="shared" si="1"/>
        <v>0</v>
      </c>
      <c r="O44" s="57"/>
      <c r="P44" s="71"/>
      <c r="Q44" s="77">
        <f t="shared" si="2"/>
        <v>0</v>
      </c>
      <c r="R44" s="78"/>
      <c r="S44" s="37">
        <f t="shared" si="3"/>
        <v>0</v>
      </c>
      <c r="T44" s="82"/>
      <c r="U44" s="83">
        <f t="shared" si="4"/>
        <v>0</v>
      </c>
      <c r="V44" s="84"/>
      <c r="W44" s="57"/>
      <c r="X44" s="85"/>
      <c r="Z44" s="542">
        <f t="shared" si="5"/>
        <v>0</v>
      </c>
      <c r="AA44" s="36">
        <f t="shared" si="6"/>
        <v>0</v>
      </c>
      <c r="AB44" s="550"/>
      <c r="AC44" s="551">
        <f t="shared" si="7"/>
        <v>0</v>
      </c>
      <c r="AD44" s="542">
        <f t="shared" si="8"/>
        <v>0</v>
      </c>
      <c r="AE44" s="551">
        <f t="shared" si="9"/>
        <v>0</v>
      </c>
      <c r="AF44" s="542">
        <f t="shared" si="10"/>
        <v>0</v>
      </c>
      <c r="AG44" s="36">
        <f t="shared" si="11"/>
        <v>0</v>
      </c>
      <c r="AH44" s="86"/>
      <c r="AI44" s="36"/>
      <c r="AJ44" s="542">
        <f t="shared" si="12"/>
        <v>0</v>
      </c>
      <c r="AK44" s="36">
        <f t="shared" si="13"/>
        <v>0</v>
      </c>
      <c r="AL44" s="831"/>
      <c r="AM44" s="36">
        <f t="shared" si="14"/>
        <v>0</v>
      </c>
      <c r="AN44" s="86"/>
      <c r="AO44" s="34" t="str">
        <f t="shared" si="15"/>
        <v>.</v>
      </c>
      <c r="AP44" s="86"/>
      <c r="AQ44" s="36"/>
      <c r="AR44" s="544">
        <f t="shared" si="16"/>
        <v>0</v>
      </c>
      <c r="AS44" s="36">
        <f t="shared" si="17"/>
        <v>0</v>
      </c>
      <c r="AT44" s="544">
        <f>IF(PF!R40&gt;0,(CA44),0)</f>
        <v>0</v>
      </c>
      <c r="AU44" s="36">
        <f t="shared" si="18"/>
        <v>0</v>
      </c>
      <c r="AV44" s="545">
        <f t="shared" si="19"/>
        <v>0</v>
      </c>
      <c r="AW44" s="36"/>
      <c r="AX44" s="543">
        <f t="shared" si="20"/>
        <v>0</v>
      </c>
      <c r="AY44" s="36">
        <f t="shared" si="21"/>
        <v>0</v>
      </c>
      <c r="AZ44" s="544">
        <f t="shared" si="22"/>
        <v>0</v>
      </c>
      <c r="BA44" s="907">
        <f t="shared" si="23"/>
        <v>0</v>
      </c>
      <c r="BB44" s="951">
        <f>(BA44-AY44)*'E S'!$F$47</f>
        <v>0</v>
      </c>
      <c r="BC44" s="952"/>
      <c r="BD44" s="953">
        <f t="shared" si="38"/>
        <v>0</v>
      </c>
      <c r="BE44" s="954"/>
      <c r="BF44" s="953">
        <f t="shared" si="24"/>
        <v>0</v>
      </c>
      <c r="BG44" s="954">
        <f t="shared" si="25"/>
        <v>0</v>
      </c>
      <c r="BH44" s="952"/>
      <c r="BI44" s="952"/>
      <c r="BJ44" s="955"/>
      <c r="BK44" s="955">
        <v>1</v>
      </c>
      <c r="BL44" s="956">
        <f t="shared" si="26"/>
        <v>0</v>
      </c>
      <c r="BM44" s="955">
        <v>2</v>
      </c>
      <c r="BN44" s="956">
        <f t="shared" si="27"/>
        <v>0</v>
      </c>
      <c r="BO44" s="955">
        <v>3</v>
      </c>
      <c r="BP44" s="956">
        <f t="shared" si="28"/>
        <v>0</v>
      </c>
      <c r="BQ44" s="955">
        <v>4</v>
      </c>
      <c r="BR44" s="956">
        <f t="shared" si="39"/>
        <v>0</v>
      </c>
      <c r="BS44" s="955">
        <v>5</v>
      </c>
      <c r="BT44" s="956">
        <f t="shared" si="29"/>
        <v>0</v>
      </c>
      <c r="BU44" s="955"/>
      <c r="BV44" s="957">
        <f t="shared" si="30"/>
        <v>0</v>
      </c>
      <c r="BW44" s="957">
        <f t="shared" si="31"/>
        <v>0</v>
      </c>
      <c r="BX44" s="955">
        <f t="shared" si="32"/>
        <v>0</v>
      </c>
      <c r="BY44" s="958">
        <f t="shared" si="33"/>
        <v>0</v>
      </c>
      <c r="BZ44" s="959">
        <f t="shared" si="34"/>
        <v>0</v>
      </c>
      <c r="CA44" s="960">
        <f t="shared" si="35"/>
        <v>0</v>
      </c>
      <c r="CB44" s="960">
        <f t="shared" si="40"/>
        <v>0</v>
      </c>
      <c r="CC44" s="960">
        <f t="shared" si="36"/>
        <v>0</v>
      </c>
      <c r="CD44" s="954">
        <f t="shared" si="37"/>
        <v>0</v>
      </c>
      <c r="CE44" s="908"/>
      <c r="CF44" s="908"/>
      <c r="CG44" s="729"/>
      <c r="CH44" s="729"/>
      <c r="CI44" s="729"/>
      <c r="CJ44" s="729"/>
      <c r="CK44" s="729"/>
      <c r="CL44" s="729"/>
      <c r="CM44" s="729"/>
      <c r="CN44" s="729"/>
    </row>
    <row r="45" spans="1:92" s="3" customFormat="1" ht="12" hidden="1">
      <c r="A45" s="870">
        <v>35</v>
      </c>
      <c r="B45" s="71"/>
      <c r="C45" s="873"/>
      <c r="D45" s="71"/>
      <c r="F45" s="71"/>
      <c r="H45" s="74"/>
      <c r="I45" s="34" t="str">
        <f>IF(H45&gt;0,"às",".")</f>
        <v>.</v>
      </c>
      <c r="J45" s="74"/>
      <c r="K45" s="76"/>
      <c r="L45" s="916"/>
      <c r="M45" s="57"/>
      <c r="N45" s="549">
        <f t="shared" si="1"/>
        <v>0</v>
      </c>
      <c r="O45" s="57"/>
      <c r="P45" s="81"/>
      <c r="Q45" s="77">
        <f t="shared" si="2"/>
        <v>0</v>
      </c>
      <c r="R45" s="78"/>
      <c r="S45" s="37">
        <f t="shared" si="3"/>
        <v>0</v>
      </c>
      <c r="T45" s="82"/>
      <c r="U45" s="83">
        <f t="shared" si="4"/>
        <v>0</v>
      </c>
      <c r="V45" s="84"/>
      <c r="W45" s="57"/>
      <c r="X45" s="85"/>
      <c r="Z45" s="542">
        <f t="shared" si="5"/>
        <v>0</v>
      </c>
      <c r="AA45" s="36">
        <f t="shared" si="6"/>
        <v>0</v>
      </c>
      <c r="AB45" s="550"/>
      <c r="AC45" s="551">
        <f t="shared" si="7"/>
        <v>0</v>
      </c>
      <c r="AD45" s="542">
        <f t="shared" si="8"/>
        <v>0</v>
      </c>
      <c r="AE45" s="551">
        <f t="shared" si="9"/>
        <v>0</v>
      </c>
      <c r="AF45" s="542">
        <f t="shared" si="10"/>
        <v>0</v>
      </c>
      <c r="AG45" s="36">
        <f t="shared" si="11"/>
        <v>0</v>
      </c>
      <c r="AH45" s="86"/>
      <c r="AI45" s="36"/>
      <c r="AJ45" s="542">
        <f t="shared" si="12"/>
        <v>0</v>
      </c>
      <c r="AK45" s="36">
        <f t="shared" si="13"/>
        <v>0</v>
      </c>
      <c r="AL45" s="831"/>
      <c r="AM45" s="36">
        <f t="shared" si="14"/>
        <v>0</v>
      </c>
      <c r="AN45" s="86"/>
      <c r="AO45" s="34" t="str">
        <f t="shared" si="15"/>
        <v>.</v>
      </c>
      <c r="AP45" s="86"/>
      <c r="AQ45" s="36"/>
      <c r="AR45" s="544">
        <f t="shared" si="16"/>
        <v>0</v>
      </c>
      <c r="AS45" s="36">
        <f t="shared" si="17"/>
        <v>0</v>
      </c>
      <c r="AT45" s="544">
        <f>IF(PF!R41&gt;0,(CA45),0)</f>
        <v>0</v>
      </c>
      <c r="AU45" s="36">
        <f t="shared" si="18"/>
        <v>0</v>
      </c>
      <c r="AV45" s="545">
        <f t="shared" si="19"/>
        <v>0</v>
      </c>
      <c r="AW45" s="36"/>
      <c r="AX45" s="543">
        <f t="shared" si="20"/>
        <v>0</v>
      </c>
      <c r="AY45" s="36">
        <f t="shared" si="21"/>
        <v>0</v>
      </c>
      <c r="AZ45" s="544">
        <f t="shared" si="22"/>
        <v>0</v>
      </c>
      <c r="BA45" s="907">
        <f t="shared" si="23"/>
        <v>0</v>
      </c>
      <c r="BB45" s="951">
        <f>(BA45-AY45)*'E S'!$F$47</f>
        <v>0</v>
      </c>
      <c r="BC45" s="952"/>
      <c r="BD45" s="953">
        <f t="shared" si="38"/>
        <v>0</v>
      </c>
      <c r="BE45" s="954"/>
      <c r="BF45" s="953">
        <f t="shared" si="24"/>
        <v>0</v>
      </c>
      <c r="BG45" s="954">
        <f t="shared" si="25"/>
        <v>0</v>
      </c>
      <c r="BH45" s="952"/>
      <c r="BI45" s="952"/>
      <c r="BJ45" s="955"/>
      <c r="BK45" s="955">
        <v>1</v>
      </c>
      <c r="BL45" s="956">
        <f t="shared" si="26"/>
        <v>0</v>
      </c>
      <c r="BM45" s="955">
        <v>2</v>
      </c>
      <c r="BN45" s="956">
        <f t="shared" si="27"/>
        <v>0</v>
      </c>
      <c r="BO45" s="955">
        <v>3</v>
      </c>
      <c r="BP45" s="956">
        <f t="shared" si="28"/>
        <v>0</v>
      </c>
      <c r="BQ45" s="955">
        <v>4</v>
      </c>
      <c r="BR45" s="956">
        <f t="shared" si="39"/>
        <v>0</v>
      </c>
      <c r="BS45" s="955">
        <v>5</v>
      </c>
      <c r="BT45" s="956">
        <f t="shared" si="29"/>
        <v>0</v>
      </c>
      <c r="BU45" s="955"/>
      <c r="BV45" s="957">
        <f t="shared" si="30"/>
        <v>0</v>
      </c>
      <c r="BW45" s="957">
        <f t="shared" si="31"/>
        <v>0</v>
      </c>
      <c r="BX45" s="955">
        <f t="shared" si="32"/>
        <v>0</v>
      </c>
      <c r="BY45" s="958">
        <f t="shared" si="33"/>
        <v>0</v>
      </c>
      <c r="BZ45" s="959">
        <f t="shared" si="34"/>
        <v>0</v>
      </c>
      <c r="CA45" s="960">
        <f t="shared" si="35"/>
        <v>0</v>
      </c>
      <c r="CB45" s="960">
        <f t="shared" si="40"/>
        <v>0</v>
      </c>
      <c r="CC45" s="960">
        <f t="shared" si="36"/>
        <v>0</v>
      </c>
      <c r="CD45" s="954">
        <f t="shared" si="37"/>
        <v>0</v>
      </c>
      <c r="CE45" s="908"/>
      <c r="CF45" s="908"/>
      <c r="CG45" s="729"/>
      <c r="CH45" s="729"/>
      <c r="CI45" s="729"/>
      <c r="CJ45" s="729"/>
      <c r="CK45" s="729"/>
      <c r="CL45" s="729"/>
      <c r="CM45" s="729"/>
      <c r="CN45" s="729"/>
    </row>
    <row r="46" spans="1:92" s="3" customFormat="1" ht="12" hidden="1">
      <c r="A46" s="870">
        <v>36</v>
      </c>
      <c r="B46" s="71"/>
      <c r="C46" s="873"/>
      <c r="D46" s="71"/>
      <c r="F46" s="71"/>
      <c r="H46" s="74"/>
      <c r="I46" s="34" t="str">
        <f>IF(H46&gt;0,"às",".")</f>
        <v>.</v>
      </c>
      <c r="J46" s="74"/>
      <c r="K46" s="76"/>
      <c r="L46" s="916"/>
      <c r="M46" s="57"/>
      <c r="N46" s="549">
        <f t="shared" si="1"/>
        <v>0</v>
      </c>
      <c r="O46" s="57"/>
      <c r="P46" s="81"/>
      <c r="Q46" s="77">
        <f t="shared" si="2"/>
        <v>0</v>
      </c>
      <c r="R46" s="78"/>
      <c r="S46" s="37">
        <f t="shared" si="3"/>
        <v>0</v>
      </c>
      <c r="T46" s="82"/>
      <c r="U46" s="83">
        <f t="shared" si="4"/>
        <v>0</v>
      </c>
      <c r="V46" s="84"/>
      <c r="W46" s="57"/>
      <c r="X46" s="85"/>
      <c r="Z46" s="542">
        <f t="shared" si="5"/>
        <v>0</v>
      </c>
      <c r="AA46" s="36">
        <f t="shared" si="6"/>
        <v>0</v>
      </c>
      <c r="AB46" s="550"/>
      <c r="AC46" s="551">
        <f t="shared" si="7"/>
        <v>0</v>
      </c>
      <c r="AD46" s="542">
        <f t="shared" si="8"/>
        <v>0</v>
      </c>
      <c r="AE46" s="551">
        <f t="shared" si="9"/>
        <v>0</v>
      </c>
      <c r="AF46" s="542">
        <f t="shared" si="10"/>
        <v>0</v>
      </c>
      <c r="AG46" s="36">
        <f t="shared" si="11"/>
        <v>0</v>
      </c>
      <c r="AH46" s="86"/>
      <c r="AI46" s="36"/>
      <c r="AJ46" s="542">
        <f t="shared" si="12"/>
        <v>0</v>
      </c>
      <c r="AK46" s="36">
        <f t="shared" si="13"/>
        <v>0</v>
      </c>
      <c r="AL46" s="831"/>
      <c r="AM46" s="36">
        <f t="shared" si="14"/>
        <v>0</v>
      </c>
      <c r="AN46" s="86"/>
      <c r="AO46" s="34" t="str">
        <f t="shared" si="15"/>
        <v>.</v>
      </c>
      <c r="AP46" s="86"/>
      <c r="AQ46" s="36"/>
      <c r="AR46" s="544">
        <f t="shared" si="16"/>
        <v>0</v>
      </c>
      <c r="AS46" s="36">
        <f t="shared" si="17"/>
        <v>0</v>
      </c>
      <c r="AT46" s="544">
        <f>IF(PF!R42&gt;0,(CA46),0)</f>
        <v>0</v>
      </c>
      <c r="AU46" s="36">
        <f t="shared" si="18"/>
        <v>0</v>
      </c>
      <c r="AV46" s="545">
        <f t="shared" si="19"/>
        <v>0</v>
      </c>
      <c r="AW46" s="36"/>
      <c r="AX46" s="543">
        <f t="shared" si="20"/>
        <v>0</v>
      </c>
      <c r="AY46" s="36">
        <f t="shared" si="21"/>
        <v>0</v>
      </c>
      <c r="AZ46" s="544">
        <f t="shared" si="22"/>
        <v>0</v>
      </c>
      <c r="BA46" s="907">
        <f t="shared" si="23"/>
        <v>0</v>
      </c>
      <c r="BB46" s="951">
        <f>(BA46-AY46)*'E S'!$F$47</f>
        <v>0</v>
      </c>
      <c r="BC46" s="952"/>
      <c r="BD46" s="953">
        <f t="shared" si="38"/>
        <v>0</v>
      </c>
      <c r="BE46" s="954"/>
      <c r="BF46" s="953">
        <f t="shared" si="24"/>
        <v>0</v>
      </c>
      <c r="BG46" s="954">
        <f t="shared" si="25"/>
        <v>0</v>
      </c>
      <c r="BH46" s="952"/>
      <c r="BI46" s="952"/>
      <c r="BJ46" s="955"/>
      <c r="BK46" s="955">
        <v>1</v>
      </c>
      <c r="BL46" s="956">
        <f t="shared" si="26"/>
        <v>0</v>
      </c>
      <c r="BM46" s="955">
        <v>2</v>
      </c>
      <c r="BN46" s="956">
        <f t="shared" si="27"/>
        <v>0</v>
      </c>
      <c r="BO46" s="955">
        <v>3</v>
      </c>
      <c r="BP46" s="956">
        <f t="shared" si="28"/>
        <v>0</v>
      </c>
      <c r="BQ46" s="955">
        <v>4</v>
      </c>
      <c r="BR46" s="956">
        <f t="shared" si="39"/>
        <v>0</v>
      </c>
      <c r="BS46" s="955">
        <v>5</v>
      </c>
      <c r="BT46" s="956">
        <f t="shared" si="29"/>
        <v>0</v>
      </c>
      <c r="BU46" s="955"/>
      <c r="BV46" s="957">
        <f t="shared" si="30"/>
        <v>0</v>
      </c>
      <c r="BW46" s="957">
        <f t="shared" si="31"/>
        <v>0</v>
      </c>
      <c r="BX46" s="955">
        <f t="shared" si="32"/>
        <v>0</v>
      </c>
      <c r="BY46" s="958">
        <f t="shared" si="33"/>
        <v>0</v>
      </c>
      <c r="BZ46" s="959">
        <f t="shared" si="34"/>
        <v>0</v>
      </c>
      <c r="CA46" s="960">
        <f t="shared" si="35"/>
        <v>0</v>
      </c>
      <c r="CB46" s="960">
        <f t="shared" si="40"/>
        <v>0</v>
      </c>
      <c r="CC46" s="960">
        <f t="shared" si="36"/>
        <v>0</v>
      </c>
      <c r="CD46" s="954">
        <f t="shared" si="37"/>
        <v>0</v>
      </c>
      <c r="CE46" s="908"/>
      <c r="CF46" s="908"/>
      <c r="CG46" s="729"/>
      <c r="CH46" s="729"/>
      <c r="CI46" s="729"/>
      <c r="CJ46" s="729"/>
      <c r="CK46" s="729"/>
      <c r="CL46" s="729"/>
      <c r="CM46" s="729"/>
      <c r="CN46" s="729"/>
    </row>
    <row r="47" spans="1:92" s="3" customFormat="1" ht="12" hidden="1">
      <c r="A47" s="870">
        <v>37</v>
      </c>
      <c r="B47" s="71"/>
      <c r="C47" s="873"/>
      <c r="D47" s="71"/>
      <c r="F47" s="71"/>
      <c r="H47" s="74"/>
      <c r="I47" s="34" t="str">
        <f>IF(H47&gt;0,"às",".")</f>
        <v>.</v>
      </c>
      <c r="J47" s="74"/>
      <c r="K47" s="76"/>
      <c r="L47" s="916"/>
      <c r="M47" s="57"/>
      <c r="N47" s="549">
        <f t="shared" si="1"/>
        <v>0</v>
      </c>
      <c r="O47" s="57"/>
      <c r="P47" s="71"/>
      <c r="Q47" s="77">
        <f t="shared" si="2"/>
        <v>0</v>
      </c>
      <c r="R47" s="78"/>
      <c r="S47" s="37">
        <f t="shared" si="3"/>
        <v>0</v>
      </c>
      <c r="T47" s="82"/>
      <c r="U47" s="83">
        <f t="shared" si="4"/>
        <v>0</v>
      </c>
      <c r="V47" s="84"/>
      <c r="W47" s="57"/>
      <c r="X47" s="85"/>
      <c r="Z47" s="542">
        <f t="shared" si="5"/>
        <v>0</v>
      </c>
      <c r="AA47" s="36">
        <f t="shared" si="6"/>
        <v>0</v>
      </c>
      <c r="AB47" s="550"/>
      <c r="AC47" s="551">
        <f t="shared" si="7"/>
        <v>0</v>
      </c>
      <c r="AD47" s="542">
        <f t="shared" si="8"/>
        <v>0</v>
      </c>
      <c r="AE47" s="551">
        <f t="shared" si="9"/>
        <v>0</v>
      </c>
      <c r="AF47" s="542">
        <f t="shared" si="10"/>
        <v>0</v>
      </c>
      <c r="AG47" s="36">
        <f t="shared" si="11"/>
        <v>0</v>
      </c>
      <c r="AH47" s="86"/>
      <c r="AI47" s="36"/>
      <c r="AJ47" s="542">
        <f t="shared" si="12"/>
        <v>0</v>
      </c>
      <c r="AK47" s="36">
        <f t="shared" si="13"/>
        <v>0</v>
      </c>
      <c r="AL47" s="831"/>
      <c r="AM47" s="36">
        <f t="shared" si="14"/>
        <v>0</v>
      </c>
      <c r="AN47" s="86"/>
      <c r="AO47" s="34" t="str">
        <f t="shared" si="15"/>
        <v>.</v>
      </c>
      <c r="AP47" s="86"/>
      <c r="AQ47" s="36"/>
      <c r="AR47" s="544">
        <f t="shared" si="16"/>
        <v>0</v>
      </c>
      <c r="AS47" s="36">
        <f t="shared" si="17"/>
        <v>0</v>
      </c>
      <c r="AT47" s="544">
        <f>IF(PF!R43&gt;0,(CA47),0)</f>
        <v>0</v>
      </c>
      <c r="AU47" s="36">
        <f t="shared" si="18"/>
        <v>0</v>
      </c>
      <c r="AV47" s="545">
        <f t="shared" si="19"/>
        <v>0</v>
      </c>
      <c r="AW47" s="36"/>
      <c r="AX47" s="543">
        <f t="shared" si="20"/>
        <v>0</v>
      </c>
      <c r="AY47" s="36">
        <f t="shared" si="21"/>
        <v>0</v>
      </c>
      <c r="AZ47" s="544">
        <f t="shared" si="22"/>
        <v>0</v>
      </c>
      <c r="BA47" s="907">
        <f t="shared" si="23"/>
        <v>0</v>
      </c>
      <c r="BB47" s="951">
        <f>(BA47-AY47)*'E S'!$F$47</f>
        <v>0</v>
      </c>
      <c r="BC47" s="952"/>
      <c r="BD47" s="953">
        <f t="shared" si="38"/>
        <v>0</v>
      </c>
      <c r="BE47" s="954"/>
      <c r="BF47" s="953">
        <f t="shared" si="24"/>
        <v>0</v>
      </c>
      <c r="BG47" s="954">
        <f t="shared" si="25"/>
        <v>0</v>
      </c>
      <c r="BH47" s="952"/>
      <c r="BI47" s="952"/>
      <c r="BJ47" s="955"/>
      <c r="BK47" s="955">
        <v>1</v>
      </c>
      <c r="BL47" s="956">
        <f t="shared" si="26"/>
        <v>0</v>
      </c>
      <c r="BM47" s="955">
        <v>2</v>
      </c>
      <c r="BN47" s="956">
        <f t="shared" si="27"/>
        <v>0</v>
      </c>
      <c r="BO47" s="955">
        <v>3</v>
      </c>
      <c r="BP47" s="956">
        <f t="shared" si="28"/>
        <v>0</v>
      </c>
      <c r="BQ47" s="955">
        <v>4</v>
      </c>
      <c r="BR47" s="956">
        <f t="shared" si="39"/>
        <v>0</v>
      </c>
      <c r="BS47" s="955">
        <v>5</v>
      </c>
      <c r="BT47" s="956">
        <f t="shared" si="29"/>
        <v>0</v>
      </c>
      <c r="BU47" s="955"/>
      <c r="BV47" s="957">
        <f t="shared" si="30"/>
        <v>0</v>
      </c>
      <c r="BW47" s="957">
        <f t="shared" si="31"/>
        <v>0</v>
      </c>
      <c r="BX47" s="955">
        <f t="shared" si="32"/>
        <v>0</v>
      </c>
      <c r="BY47" s="958">
        <f t="shared" si="33"/>
        <v>0</v>
      </c>
      <c r="BZ47" s="959">
        <f t="shared" si="34"/>
        <v>0</v>
      </c>
      <c r="CA47" s="960">
        <f t="shared" si="35"/>
        <v>0</v>
      </c>
      <c r="CB47" s="960">
        <f t="shared" si="40"/>
        <v>0</v>
      </c>
      <c r="CC47" s="960">
        <f t="shared" si="36"/>
        <v>0</v>
      </c>
      <c r="CD47" s="954">
        <f t="shared" si="37"/>
        <v>0</v>
      </c>
      <c r="CE47" s="908"/>
      <c r="CF47" s="908"/>
      <c r="CG47" s="729"/>
      <c r="CH47" s="729"/>
      <c r="CI47" s="729"/>
      <c r="CJ47" s="729"/>
      <c r="CK47" s="729"/>
      <c r="CL47" s="729"/>
      <c r="CM47" s="729"/>
      <c r="CN47" s="729"/>
    </row>
    <row r="48" spans="1:92" s="3" customFormat="1" ht="12" hidden="1">
      <c r="A48" s="870">
        <v>38</v>
      </c>
      <c r="B48" s="71"/>
      <c r="C48" s="873"/>
      <c r="D48" s="71"/>
      <c r="F48" s="71"/>
      <c r="H48" s="73"/>
      <c r="I48" s="34" t="str">
        <f>IF(H48&gt;0,"às",".")</f>
        <v>.</v>
      </c>
      <c r="J48" s="74"/>
      <c r="K48" s="76"/>
      <c r="L48" s="916"/>
      <c r="M48" s="57"/>
      <c r="N48" s="549">
        <f t="shared" si="1"/>
        <v>0</v>
      </c>
      <c r="O48" s="57"/>
      <c r="P48" s="71"/>
      <c r="Q48" s="77">
        <f t="shared" si="2"/>
        <v>0</v>
      </c>
      <c r="R48" s="78"/>
      <c r="S48" s="37">
        <f t="shared" si="3"/>
        <v>0</v>
      </c>
      <c r="T48" s="82"/>
      <c r="U48" s="83">
        <f t="shared" si="4"/>
        <v>0</v>
      </c>
      <c r="V48" s="84"/>
      <c r="W48" s="57"/>
      <c r="X48" s="85"/>
      <c r="Z48" s="542">
        <f t="shared" si="5"/>
        <v>0</v>
      </c>
      <c r="AA48" s="36">
        <f t="shared" si="6"/>
        <v>0</v>
      </c>
      <c r="AB48" s="550"/>
      <c r="AC48" s="551">
        <f t="shared" si="7"/>
        <v>0</v>
      </c>
      <c r="AD48" s="542">
        <f t="shared" si="8"/>
        <v>0</v>
      </c>
      <c r="AE48" s="551">
        <f t="shared" si="9"/>
        <v>0</v>
      </c>
      <c r="AF48" s="542">
        <f t="shared" si="10"/>
        <v>0</v>
      </c>
      <c r="AG48" s="36">
        <f t="shared" si="11"/>
        <v>0</v>
      </c>
      <c r="AH48" s="86"/>
      <c r="AI48" s="36"/>
      <c r="AJ48" s="542">
        <f t="shared" si="12"/>
        <v>0</v>
      </c>
      <c r="AK48" s="36">
        <f t="shared" si="13"/>
        <v>0</v>
      </c>
      <c r="AL48" s="831"/>
      <c r="AM48" s="36">
        <f t="shared" si="14"/>
        <v>0</v>
      </c>
      <c r="AN48" s="86"/>
      <c r="AO48" s="34" t="str">
        <f t="shared" si="15"/>
        <v>.</v>
      </c>
      <c r="AP48" s="86"/>
      <c r="AQ48" s="36"/>
      <c r="AR48" s="544">
        <f t="shared" si="16"/>
        <v>0</v>
      </c>
      <c r="AS48" s="36">
        <f t="shared" si="17"/>
        <v>0</v>
      </c>
      <c r="AT48" s="544">
        <f>IF(PF!R44&gt;0,(CA48),0)</f>
        <v>0</v>
      </c>
      <c r="AU48" s="36">
        <f t="shared" si="18"/>
        <v>0</v>
      </c>
      <c r="AV48" s="545">
        <f t="shared" si="19"/>
        <v>0</v>
      </c>
      <c r="AW48" s="36"/>
      <c r="AX48" s="543">
        <f t="shared" si="20"/>
        <v>0</v>
      </c>
      <c r="AY48" s="36">
        <f t="shared" si="21"/>
        <v>0</v>
      </c>
      <c r="AZ48" s="544">
        <f t="shared" si="22"/>
        <v>0</v>
      </c>
      <c r="BA48" s="907">
        <f t="shared" si="23"/>
        <v>0</v>
      </c>
      <c r="BB48" s="951">
        <f>(BA48-AY48)*'E S'!$F$47</f>
        <v>0</v>
      </c>
      <c r="BC48" s="952"/>
      <c r="BD48" s="953">
        <f t="shared" si="38"/>
        <v>0</v>
      </c>
      <c r="BE48" s="954"/>
      <c r="BF48" s="953">
        <f t="shared" si="24"/>
        <v>0</v>
      </c>
      <c r="BG48" s="954">
        <f t="shared" si="25"/>
        <v>0</v>
      </c>
      <c r="BH48" s="952"/>
      <c r="BI48" s="952"/>
      <c r="BJ48" s="955"/>
      <c r="BK48" s="955">
        <v>1</v>
      </c>
      <c r="BL48" s="956">
        <f t="shared" si="26"/>
        <v>0</v>
      </c>
      <c r="BM48" s="955">
        <v>2</v>
      </c>
      <c r="BN48" s="956">
        <f t="shared" si="27"/>
        <v>0</v>
      </c>
      <c r="BO48" s="955">
        <v>3</v>
      </c>
      <c r="BP48" s="956">
        <f t="shared" si="28"/>
        <v>0</v>
      </c>
      <c r="BQ48" s="955">
        <v>4</v>
      </c>
      <c r="BR48" s="956">
        <f t="shared" si="39"/>
        <v>0</v>
      </c>
      <c r="BS48" s="955">
        <v>5</v>
      </c>
      <c r="BT48" s="956">
        <f t="shared" si="29"/>
        <v>0</v>
      </c>
      <c r="BU48" s="955"/>
      <c r="BV48" s="957">
        <f t="shared" si="30"/>
        <v>0</v>
      </c>
      <c r="BW48" s="957">
        <f t="shared" si="31"/>
        <v>0</v>
      </c>
      <c r="BX48" s="955">
        <f t="shared" si="32"/>
        <v>0</v>
      </c>
      <c r="BY48" s="958">
        <f t="shared" si="33"/>
        <v>0</v>
      </c>
      <c r="BZ48" s="959">
        <f t="shared" si="34"/>
        <v>0</v>
      </c>
      <c r="CA48" s="960">
        <f t="shared" si="35"/>
        <v>0</v>
      </c>
      <c r="CB48" s="960">
        <f t="shared" si="40"/>
        <v>0</v>
      </c>
      <c r="CC48" s="960">
        <f t="shared" si="36"/>
        <v>0</v>
      </c>
      <c r="CD48" s="954">
        <f t="shared" si="37"/>
        <v>0</v>
      </c>
      <c r="CE48" s="908"/>
      <c r="CF48" s="908"/>
      <c r="CG48" s="729"/>
      <c r="CH48" s="729"/>
      <c r="CI48" s="729"/>
      <c r="CJ48" s="729"/>
      <c r="CK48" s="729"/>
      <c r="CL48" s="729"/>
      <c r="CM48" s="729"/>
      <c r="CN48" s="729"/>
    </row>
    <row r="49" spans="1:92" s="3" customFormat="1" ht="12" hidden="1">
      <c r="A49" s="870">
        <v>39</v>
      </c>
      <c r="B49" s="71"/>
      <c r="C49" s="873"/>
      <c r="D49" s="71"/>
      <c r="F49" s="71"/>
      <c r="H49" s="74"/>
      <c r="I49" s="34"/>
      <c r="J49" s="74"/>
      <c r="K49" s="76"/>
      <c r="L49" s="916"/>
      <c r="M49" s="57"/>
      <c r="N49" s="549">
        <f t="shared" si="1"/>
        <v>0</v>
      </c>
      <c r="O49" s="57"/>
      <c r="P49" s="71"/>
      <c r="Q49" s="77">
        <f t="shared" si="2"/>
        <v>0</v>
      </c>
      <c r="R49" s="78"/>
      <c r="S49" s="37">
        <f t="shared" si="3"/>
        <v>0</v>
      </c>
      <c r="T49" s="82"/>
      <c r="U49" s="83">
        <f t="shared" si="4"/>
        <v>0</v>
      </c>
      <c r="V49" s="84"/>
      <c r="W49" s="57"/>
      <c r="X49" s="85"/>
      <c r="Z49" s="542">
        <f t="shared" si="5"/>
        <v>0</v>
      </c>
      <c r="AA49" s="36">
        <f t="shared" si="6"/>
        <v>0</v>
      </c>
      <c r="AB49" s="550"/>
      <c r="AC49" s="551">
        <f t="shared" si="7"/>
        <v>0</v>
      </c>
      <c r="AD49" s="542">
        <f t="shared" si="8"/>
        <v>0</v>
      </c>
      <c r="AE49" s="551">
        <f t="shared" si="9"/>
        <v>0</v>
      </c>
      <c r="AF49" s="542">
        <f t="shared" si="10"/>
        <v>0</v>
      </c>
      <c r="AG49" s="36">
        <f t="shared" si="11"/>
        <v>0</v>
      </c>
      <c r="AH49" s="86"/>
      <c r="AI49" s="36"/>
      <c r="AJ49" s="542">
        <f t="shared" si="12"/>
        <v>0</v>
      </c>
      <c r="AK49" s="36">
        <f t="shared" si="13"/>
        <v>0</v>
      </c>
      <c r="AL49" s="831"/>
      <c r="AM49" s="36">
        <f t="shared" si="14"/>
        <v>0</v>
      </c>
      <c r="AN49" s="86"/>
      <c r="AO49" s="34" t="str">
        <f t="shared" si="15"/>
        <v>.</v>
      </c>
      <c r="AP49" s="86"/>
      <c r="AQ49" s="36"/>
      <c r="AR49" s="544">
        <f t="shared" si="16"/>
        <v>0</v>
      </c>
      <c r="AS49" s="36">
        <f t="shared" si="17"/>
        <v>0</v>
      </c>
      <c r="AT49" s="544">
        <f>IF(PF!R45&gt;0,(CA49),0)</f>
        <v>0</v>
      </c>
      <c r="AU49" s="36">
        <f t="shared" si="18"/>
        <v>0</v>
      </c>
      <c r="AV49" s="545">
        <f t="shared" si="19"/>
        <v>0</v>
      </c>
      <c r="AW49" s="36"/>
      <c r="AX49" s="543">
        <f t="shared" si="20"/>
        <v>0</v>
      </c>
      <c r="AY49" s="36">
        <f t="shared" si="21"/>
        <v>0</v>
      </c>
      <c r="AZ49" s="544">
        <f t="shared" si="22"/>
        <v>0</v>
      </c>
      <c r="BA49" s="907">
        <f t="shared" si="23"/>
        <v>0</v>
      </c>
      <c r="BB49" s="951">
        <f>(BA49-AY49)*'E S'!$F$47</f>
        <v>0</v>
      </c>
      <c r="BC49" s="952"/>
      <c r="BD49" s="953">
        <f t="shared" si="38"/>
        <v>0</v>
      </c>
      <c r="BE49" s="954"/>
      <c r="BF49" s="953">
        <f t="shared" si="24"/>
        <v>0</v>
      </c>
      <c r="BG49" s="954">
        <f t="shared" si="25"/>
        <v>0</v>
      </c>
      <c r="BH49" s="952"/>
      <c r="BI49" s="952"/>
      <c r="BJ49" s="955"/>
      <c r="BK49" s="955">
        <v>1</v>
      </c>
      <c r="BL49" s="956">
        <f t="shared" si="26"/>
        <v>0</v>
      </c>
      <c r="BM49" s="955">
        <v>2</v>
      </c>
      <c r="BN49" s="956">
        <f t="shared" si="27"/>
        <v>0</v>
      </c>
      <c r="BO49" s="955">
        <v>3</v>
      </c>
      <c r="BP49" s="956">
        <f t="shared" si="28"/>
        <v>0</v>
      </c>
      <c r="BQ49" s="955">
        <v>4</v>
      </c>
      <c r="BR49" s="956">
        <f t="shared" si="39"/>
        <v>0</v>
      </c>
      <c r="BS49" s="955">
        <v>5</v>
      </c>
      <c r="BT49" s="956">
        <f t="shared" si="29"/>
        <v>0</v>
      </c>
      <c r="BU49" s="955"/>
      <c r="BV49" s="957">
        <f t="shared" si="30"/>
        <v>0</v>
      </c>
      <c r="BW49" s="957">
        <f t="shared" si="31"/>
        <v>0</v>
      </c>
      <c r="BX49" s="955">
        <f t="shared" si="32"/>
        <v>0</v>
      </c>
      <c r="BY49" s="958">
        <f t="shared" si="33"/>
        <v>0</v>
      </c>
      <c r="BZ49" s="959">
        <f t="shared" si="34"/>
        <v>0</v>
      </c>
      <c r="CA49" s="960">
        <f t="shared" si="35"/>
        <v>0</v>
      </c>
      <c r="CB49" s="960">
        <f t="shared" si="40"/>
        <v>0</v>
      </c>
      <c r="CC49" s="960">
        <f t="shared" si="36"/>
        <v>0</v>
      </c>
      <c r="CD49" s="954">
        <f t="shared" si="37"/>
        <v>0</v>
      </c>
      <c r="CE49" s="908"/>
      <c r="CF49" s="908"/>
      <c r="CG49" s="729"/>
      <c r="CH49" s="729"/>
      <c r="CI49" s="729"/>
      <c r="CJ49" s="729"/>
      <c r="CK49" s="729"/>
      <c r="CL49" s="729"/>
      <c r="CM49" s="729"/>
      <c r="CN49" s="729"/>
    </row>
    <row r="50" spans="1:92" s="3" customFormat="1" ht="12" hidden="1">
      <c r="A50" s="870">
        <v>40</v>
      </c>
      <c r="B50" s="71"/>
      <c r="C50" s="873"/>
      <c r="D50" s="71"/>
      <c r="F50" s="71"/>
      <c r="H50" s="74"/>
      <c r="I50" s="34" t="str">
        <f>IF(H50&gt;0,"às",".")</f>
        <v>.</v>
      </c>
      <c r="J50" s="74"/>
      <c r="K50" s="76"/>
      <c r="L50" s="916"/>
      <c r="M50" s="57"/>
      <c r="N50" s="549">
        <f t="shared" si="1"/>
        <v>0</v>
      </c>
      <c r="O50" s="57"/>
      <c r="P50" s="81"/>
      <c r="Q50" s="77">
        <f t="shared" si="2"/>
        <v>0</v>
      </c>
      <c r="R50" s="78"/>
      <c r="S50" s="37">
        <f t="shared" si="3"/>
        <v>0</v>
      </c>
      <c r="T50" s="82"/>
      <c r="U50" s="83">
        <f t="shared" si="4"/>
        <v>0</v>
      </c>
      <c r="V50" s="84"/>
      <c r="W50" s="57"/>
      <c r="X50" s="85"/>
      <c r="Z50" s="542">
        <f t="shared" si="5"/>
        <v>0</v>
      </c>
      <c r="AA50" s="36">
        <f t="shared" si="6"/>
        <v>0</v>
      </c>
      <c r="AB50" s="550"/>
      <c r="AC50" s="551">
        <f t="shared" si="7"/>
        <v>0</v>
      </c>
      <c r="AD50" s="542">
        <f t="shared" si="8"/>
        <v>0</v>
      </c>
      <c r="AE50" s="551">
        <f t="shared" si="9"/>
        <v>0</v>
      </c>
      <c r="AF50" s="542">
        <f t="shared" si="10"/>
        <v>0</v>
      </c>
      <c r="AG50" s="36">
        <f t="shared" si="11"/>
        <v>0</v>
      </c>
      <c r="AH50" s="86"/>
      <c r="AI50" s="36"/>
      <c r="AJ50" s="542">
        <f t="shared" si="12"/>
        <v>0</v>
      </c>
      <c r="AK50" s="36">
        <f t="shared" si="13"/>
        <v>0</v>
      </c>
      <c r="AL50" s="831"/>
      <c r="AM50" s="36">
        <f t="shared" si="14"/>
        <v>0</v>
      </c>
      <c r="AN50" s="86"/>
      <c r="AO50" s="34" t="str">
        <f t="shared" si="15"/>
        <v>.</v>
      </c>
      <c r="AP50" s="86"/>
      <c r="AQ50" s="36"/>
      <c r="AR50" s="544">
        <f t="shared" si="16"/>
        <v>0</v>
      </c>
      <c r="AS50" s="36">
        <f t="shared" si="17"/>
        <v>0</v>
      </c>
      <c r="AT50" s="544">
        <f>IF(PF!R46&gt;0,(CA50),0)</f>
        <v>0</v>
      </c>
      <c r="AU50" s="36">
        <f t="shared" si="18"/>
        <v>0</v>
      </c>
      <c r="AV50" s="545">
        <f t="shared" si="19"/>
        <v>0</v>
      </c>
      <c r="AW50" s="36"/>
      <c r="AX50" s="543">
        <f t="shared" si="20"/>
        <v>0</v>
      </c>
      <c r="AY50" s="36">
        <f t="shared" si="21"/>
        <v>0</v>
      </c>
      <c r="AZ50" s="544">
        <f t="shared" si="22"/>
        <v>0</v>
      </c>
      <c r="BA50" s="907">
        <f t="shared" si="23"/>
        <v>0</v>
      </c>
      <c r="BB50" s="951">
        <f>(BA50-AY50)*'E S'!$F$47</f>
        <v>0</v>
      </c>
      <c r="BC50" s="952"/>
      <c r="BD50" s="953">
        <f t="shared" si="38"/>
        <v>0</v>
      </c>
      <c r="BE50" s="954"/>
      <c r="BF50" s="953">
        <f t="shared" si="24"/>
        <v>0</v>
      </c>
      <c r="BG50" s="954">
        <f t="shared" si="25"/>
        <v>0</v>
      </c>
      <c r="BH50" s="952"/>
      <c r="BI50" s="952"/>
      <c r="BJ50" s="955"/>
      <c r="BK50" s="955">
        <v>1</v>
      </c>
      <c r="BL50" s="956">
        <f t="shared" si="26"/>
        <v>0</v>
      </c>
      <c r="BM50" s="955">
        <v>2</v>
      </c>
      <c r="BN50" s="956">
        <f t="shared" si="27"/>
        <v>0</v>
      </c>
      <c r="BO50" s="955">
        <v>3</v>
      </c>
      <c r="BP50" s="956">
        <f t="shared" si="28"/>
        <v>0</v>
      </c>
      <c r="BQ50" s="955">
        <v>4</v>
      </c>
      <c r="BR50" s="956">
        <f t="shared" si="39"/>
        <v>0</v>
      </c>
      <c r="BS50" s="955">
        <v>5</v>
      </c>
      <c r="BT50" s="956">
        <f t="shared" si="29"/>
        <v>0</v>
      </c>
      <c r="BU50" s="955"/>
      <c r="BV50" s="957">
        <f t="shared" si="30"/>
        <v>0</v>
      </c>
      <c r="BW50" s="957">
        <f t="shared" si="31"/>
        <v>0</v>
      </c>
      <c r="BX50" s="955">
        <f t="shared" si="32"/>
        <v>0</v>
      </c>
      <c r="BY50" s="958">
        <f t="shared" si="33"/>
        <v>0</v>
      </c>
      <c r="BZ50" s="959">
        <f t="shared" si="34"/>
        <v>0</v>
      </c>
      <c r="CA50" s="960">
        <f t="shared" si="35"/>
        <v>0</v>
      </c>
      <c r="CB50" s="960">
        <f t="shared" si="40"/>
        <v>0</v>
      </c>
      <c r="CC50" s="960">
        <f t="shared" si="36"/>
        <v>0</v>
      </c>
      <c r="CD50" s="954">
        <f t="shared" si="37"/>
        <v>0</v>
      </c>
      <c r="CE50" s="908"/>
      <c r="CF50" s="908"/>
      <c r="CG50" s="729"/>
      <c r="CH50" s="729"/>
      <c r="CI50" s="729"/>
      <c r="CJ50" s="729"/>
      <c r="CK50" s="729"/>
      <c r="CL50" s="729"/>
      <c r="CM50" s="729"/>
      <c r="CN50" s="729"/>
    </row>
    <row r="51" spans="1:92" s="3" customFormat="1" ht="12" hidden="1">
      <c r="A51" s="870">
        <v>41</v>
      </c>
      <c r="B51" s="71"/>
      <c r="C51" s="873"/>
      <c r="D51" s="71"/>
      <c r="F51" s="71"/>
      <c r="H51" s="74"/>
      <c r="I51" s="34" t="str">
        <f>IF(H51&gt;0,"às",".")</f>
        <v>.</v>
      </c>
      <c r="J51" s="74"/>
      <c r="K51" s="76"/>
      <c r="L51" s="916"/>
      <c r="M51" s="57"/>
      <c r="N51" s="549">
        <f t="shared" si="1"/>
        <v>0</v>
      </c>
      <c r="O51" s="57"/>
      <c r="P51" s="71"/>
      <c r="Q51" s="77">
        <f t="shared" si="2"/>
        <v>0</v>
      </c>
      <c r="R51" s="78"/>
      <c r="S51" s="37">
        <f t="shared" si="3"/>
        <v>0</v>
      </c>
      <c r="T51" s="82"/>
      <c r="U51" s="83">
        <f t="shared" si="4"/>
        <v>0</v>
      </c>
      <c r="V51" s="84"/>
      <c r="W51" s="57"/>
      <c r="X51" s="85"/>
      <c r="Z51" s="542">
        <f t="shared" si="5"/>
        <v>0</v>
      </c>
      <c r="AA51" s="36">
        <f t="shared" si="6"/>
        <v>0</v>
      </c>
      <c r="AB51" s="550"/>
      <c r="AC51" s="551">
        <f t="shared" si="7"/>
        <v>0</v>
      </c>
      <c r="AD51" s="542">
        <f t="shared" si="8"/>
        <v>0</v>
      </c>
      <c r="AE51" s="551">
        <f t="shared" si="9"/>
        <v>0</v>
      </c>
      <c r="AF51" s="542">
        <f t="shared" si="10"/>
        <v>0</v>
      </c>
      <c r="AG51" s="36">
        <f t="shared" si="11"/>
        <v>0</v>
      </c>
      <c r="AH51" s="86"/>
      <c r="AI51" s="36"/>
      <c r="AJ51" s="542">
        <f t="shared" si="12"/>
        <v>0</v>
      </c>
      <c r="AK51" s="36">
        <f t="shared" si="13"/>
        <v>0</v>
      </c>
      <c r="AL51" s="831"/>
      <c r="AM51" s="36">
        <f t="shared" si="14"/>
        <v>0</v>
      </c>
      <c r="AN51" s="86"/>
      <c r="AO51" s="34" t="str">
        <f t="shared" si="15"/>
        <v>.</v>
      </c>
      <c r="AP51" s="86"/>
      <c r="AQ51" s="36"/>
      <c r="AR51" s="544">
        <f t="shared" si="16"/>
        <v>0</v>
      </c>
      <c r="AS51" s="36">
        <f t="shared" si="17"/>
        <v>0</v>
      </c>
      <c r="AT51" s="544">
        <f>IF(PF!R47&gt;0,(CA51),0)</f>
        <v>0</v>
      </c>
      <c r="AU51" s="36">
        <f t="shared" si="18"/>
        <v>0</v>
      </c>
      <c r="AV51" s="545">
        <f t="shared" si="19"/>
        <v>0</v>
      </c>
      <c r="AW51" s="36"/>
      <c r="AX51" s="543">
        <f t="shared" si="20"/>
        <v>0</v>
      </c>
      <c r="AY51" s="36">
        <f t="shared" si="21"/>
        <v>0</v>
      </c>
      <c r="AZ51" s="544">
        <f t="shared" si="22"/>
        <v>0</v>
      </c>
      <c r="BA51" s="907">
        <f t="shared" si="23"/>
        <v>0</v>
      </c>
      <c r="BB51" s="951">
        <f>(BA51-AY51)*'E S'!$F$47</f>
        <v>0</v>
      </c>
      <c r="BC51" s="952"/>
      <c r="BD51" s="953">
        <f t="shared" si="38"/>
        <v>0</v>
      </c>
      <c r="BE51" s="954"/>
      <c r="BF51" s="953">
        <f t="shared" si="24"/>
        <v>0</v>
      </c>
      <c r="BG51" s="954">
        <f t="shared" si="25"/>
        <v>0</v>
      </c>
      <c r="BH51" s="952"/>
      <c r="BI51" s="952"/>
      <c r="BJ51" s="955"/>
      <c r="BK51" s="955">
        <v>1</v>
      </c>
      <c r="BL51" s="956">
        <f t="shared" si="26"/>
        <v>0</v>
      </c>
      <c r="BM51" s="955">
        <v>2</v>
      </c>
      <c r="BN51" s="956">
        <f t="shared" si="27"/>
        <v>0</v>
      </c>
      <c r="BO51" s="955">
        <v>3</v>
      </c>
      <c r="BP51" s="956">
        <f t="shared" si="28"/>
        <v>0</v>
      </c>
      <c r="BQ51" s="955">
        <v>4</v>
      </c>
      <c r="BR51" s="956">
        <f t="shared" si="39"/>
        <v>0</v>
      </c>
      <c r="BS51" s="955">
        <v>5</v>
      </c>
      <c r="BT51" s="956">
        <f t="shared" si="29"/>
        <v>0</v>
      </c>
      <c r="BU51" s="955"/>
      <c r="BV51" s="957">
        <f t="shared" si="30"/>
        <v>0</v>
      </c>
      <c r="BW51" s="957">
        <f t="shared" si="31"/>
        <v>0</v>
      </c>
      <c r="BX51" s="955">
        <f t="shared" si="32"/>
        <v>0</v>
      </c>
      <c r="BY51" s="958">
        <f t="shared" si="33"/>
        <v>0</v>
      </c>
      <c r="BZ51" s="959">
        <f t="shared" si="34"/>
        <v>0</v>
      </c>
      <c r="CA51" s="960">
        <f t="shared" si="35"/>
        <v>0</v>
      </c>
      <c r="CB51" s="960">
        <f t="shared" si="40"/>
        <v>0</v>
      </c>
      <c r="CC51" s="960">
        <f t="shared" si="36"/>
        <v>0</v>
      </c>
      <c r="CD51" s="954">
        <f t="shared" si="37"/>
        <v>0</v>
      </c>
      <c r="CE51" s="908"/>
      <c r="CF51" s="908"/>
      <c r="CG51" s="729"/>
      <c r="CH51" s="729"/>
      <c r="CI51" s="729"/>
      <c r="CJ51" s="729"/>
      <c r="CK51" s="729"/>
      <c r="CL51" s="729"/>
      <c r="CM51" s="729"/>
      <c r="CN51" s="729"/>
    </row>
    <row r="52" spans="1:92" s="3" customFormat="1" ht="12" hidden="1">
      <c r="A52" s="870">
        <v>42</v>
      </c>
      <c r="B52" s="71"/>
      <c r="C52" s="873"/>
      <c r="D52" s="71"/>
      <c r="F52" s="71"/>
      <c r="H52" s="73"/>
      <c r="I52" s="34" t="str">
        <f>IF(H52&gt;0,"às",".")</f>
        <v>.</v>
      </c>
      <c r="J52" s="74"/>
      <c r="K52" s="76"/>
      <c r="L52" s="916"/>
      <c r="M52" s="57"/>
      <c r="N52" s="549">
        <f t="shared" si="1"/>
        <v>0</v>
      </c>
      <c r="O52" s="57"/>
      <c r="P52" s="80"/>
      <c r="Q52" s="77">
        <f t="shared" si="2"/>
        <v>0</v>
      </c>
      <c r="R52" s="78"/>
      <c r="S52" s="37">
        <f t="shared" si="3"/>
        <v>0</v>
      </c>
      <c r="T52" s="82"/>
      <c r="U52" s="83">
        <f t="shared" si="4"/>
        <v>0</v>
      </c>
      <c r="V52" s="84"/>
      <c r="W52" s="57"/>
      <c r="X52" s="85"/>
      <c r="Z52" s="542">
        <f t="shared" si="5"/>
        <v>0</v>
      </c>
      <c r="AA52" s="36">
        <f t="shared" si="6"/>
        <v>0</v>
      </c>
      <c r="AB52" s="550"/>
      <c r="AC52" s="551">
        <f t="shared" si="7"/>
        <v>0</v>
      </c>
      <c r="AD52" s="542">
        <f t="shared" si="8"/>
        <v>0</v>
      </c>
      <c r="AE52" s="551">
        <f t="shared" si="9"/>
        <v>0</v>
      </c>
      <c r="AF52" s="542">
        <f t="shared" si="10"/>
        <v>0</v>
      </c>
      <c r="AG52" s="36">
        <f t="shared" si="11"/>
        <v>0</v>
      </c>
      <c r="AH52" s="86"/>
      <c r="AI52" s="36"/>
      <c r="AJ52" s="542">
        <f t="shared" si="12"/>
        <v>0</v>
      </c>
      <c r="AK52" s="36">
        <f t="shared" si="13"/>
        <v>0</v>
      </c>
      <c r="AL52" s="831"/>
      <c r="AM52" s="36">
        <f t="shared" si="14"/>
        <v>0</v>
      </c>
      <c r="AN52" s="86"/>
      <c r="AO52" s="34" t="str">
        <f t="shared" si="15"/>
        <v>.</v>
      </c>
      <c r="AP52" s="86"/>
      <c r="AQ52" s="36"/>
      <c r="AR52" s="544">
        <f t="shared" si="16"/>
        <v>0</v>
      </c>
      <c r="AS52" s="36">
        <f t="shared" si="17"/>
        <v>0</v>
      </c>
      <c r="AT52" s="544">
        <f>IF(PF!R48&gt;0,(CA52),0)</f>
        <v>0</v>
      </c>
      <c r="AU52" s="36">
        <f t="shared" si="18"/>
        <v>0</v>
      </c>
      <c r="AV52" s="545">
        <f t="shared" si="19"/>
        <v>0</v>
      </c>
      <c r="AW52" s="36"/>
      <c r="AX52" s="543">
        <f t="shared" si="20"/>
        <v>0</v>
      </c>
      <c r="AY52" s="36">
        <f t="shared" si="21"/>
        <v>0</v>
      </c>
      <c r="AZ52" s="544">
        <f t="shared" si="22"/>
        <v>0</v>
      </c>
      <c r="BA52" s="907">
        <f t="shared" si="23"/>
        <v>0</v>
      </c>
      <c r="BB52" s="951">
        <f>(BA52-AY52)*'E S'!$F$47</f>
        <v>0</v>
      </c>
      <c r="BC52" s="952"/>
      <c r="BD52" s="953">
        <f t="shared" si="38"/>
        <v>0</v>
      </c>
      <c r="BE52" s="954"/>
      <c r="BF52" s="953">
        <f t="shared" si="24"/>
        <v>0</v>
      </c>
      <c r="BG52" s="954">
        <f t="shared" si="25"/>
        <v>0</v>
      </c>
      <c r="BH52" s="952"/>
      <c r="BI52" s="952"/>
      <c r="BJ52" s="955"/>
      <c r="BK52" s="955">
        <v>1</v>
      </c>
      <c r="BL52" s="956">
        <f t="shared" si="26"/>
        <v>0</v>
      </c>
      <c r="BM52" s="955">
        <v>2</v>
      </c>
      <c r="BN52" s="956">
        <f t="shared" si="27"/>
        <v>0</v>
      </c>
      <c r="BO52" s="955">
        <v>3</v>
      </c>
      <c r="BP52" s="956">
        <f t="shared" si="28"/>
        <v>0</v>
      </c>
      <c r="BQ52" s="955">
        <v>4</v>
      </c>
      <c r="BR52" s="956">
        <f t="shared" si="39"/>
        <v>0</v>
      </c>
      <c r="BS52" s="955">
        <v>5</v>
      </c>
      <c r="BT52" s="956">
        <f t="shared" si="29"/>
        <v>0</v>
      </c>
      <c r="BU52" s="955"/>
      <c r="BV52" s="957">
        <f t="shared" si="30"/>
        <v>0</v>
      </c>
      <c r="BW52" s="957">
        <f t="shared" si="31"/>
        <v>0</v>
      </c>
      <c r="BX52" s="955">
        <f t="shared" si="32"/>
        <v>0</v>
      </c>
      <c r="BY52" s="958">
        <f t="shared" si="33"/>
        <v>0</v>
      </c>
      <c r="BZ52" s="959">
        <f t="shared" si="34"/>
        <v>0</v>
      </c>
      <c r="CA52" s="960">
        <f t="shared" si="35"/>
        <v>0</v>
      </c>
      <c r="CB52" s="960">
        <f t="shared" si="40"/>
        <v>0</v>
      </c>
      <c r="CC52" s="960">
        <f t="shared" si="36"/>
        <v>0</v>
      </c>
      <c r="CD52" s="954">
        <f t="shared" si="37"/>
        <v>0</v>
      </c>
      <c r="CE52" s="908"/>
      <c r="CF52" s="908"/>
      <c r="CG52" s="729"/>
      <c r="CH52" s="729"/>
      <c r="CI52" s="729"/>
      <c r="CJ52" s="729"/>
      <c r="CK52" s="729"/>
      <c r="CL52" s="729"/>
      <c r="CM52" s="729"/>
      <c r="CN52" s="729"/>
    </row>
    <row r="53" spans="1:92" s="3" customFormat="1" ht="12" hidden="1">
      <c r="A53" s="870">
        <v>43</v>
      </c>
      <c r="B53" s="71"/>
      <c r="C53" s="873"/>
      <c r="D53" s="71"/>
      <c r="F53" s="71"/>
      <c r="H53" s="75"/>
      <c r="I53" s="34"/>
      <c r="J53" s="75"/>
      <c r="K53" s="76"/>
      <c r="L53" s="916"/>
      <c r="M53" s="57"/>
      <c r="N53" s="549">
        <f t="shared" si="1"/>
        <v>0</v>
      </c>
      <c r="O53" s="57"/>
      <c r="P53" s="81"/>
      <c r="Q53" s="77">
        <f t="shared" si="2"/>
        <v>0</v>
      </c>
      <c r="R53" s="78"/>
      <c r="S53" s="37">
        <f t="shared" si="3"/>
        <v>0</v>
      </c>
      <c r="T53" s="82"/>
      <c r="U53" s="83">
        <f t="shared" si="4"/>
        <v>0</v>
      </c>
      <c r="V53" s="84"/>
      <c r="W53" s="57"/>
      <c r="X53" s="85"/>
      <c r="Z53" s="542">
        <f t="shared" si="5"/>
        <v>0</v>
      </c>
      <c r="AA53" s="36">
        <f t="shared" si="6"/>
        <v>0</v>
      </c>
      <c r="AB53" s="550"/>
      <c r="AC53" s="551">
        <f t="shared" si="7"/>
        <v>0</v>
      </c>
      <c r="AD53" s="542">
        <f t="shared" si="8"/>
        <v>0</v>
      </c>
      <c r="AE53" s="551">
        <f t="shared" si="9"/>
        <v>0</v>
      </c>
      <c r="AF53" s="542">
        <f t="shared" si="10"/>
        <v>0</v>
      </c>
      <c r="AG53" s="36">
        <f t="shared" si="11"/>
        <v>0</v>
      </c>
      <c r="AH53" s="86"/>
      <c r="AI53" s="36"/>
      <c r="AJ53" s="542">
        <f t="shared" si="12"/>
        <v>0</v>
      </c>
      <c r="AK53" s="36">
        <f t="shared" si="13"/>
        <v>0</v>
      </c>
      <c r="AL53" s="831"/>
      <c r="AM53" s="36">
        <f t="shared" si="14"/>
        <v>0</v>
      </c>
      <c r="AN53" s="86"/>
      <c r="AO53" s="34" t="str">
        <f t="shared" si="15"/>
        <v>.</v>
      </c>
      <c r="AP53" s="86"/>
      <c r="AQ53" s="36"/>
      <c r="AR53" s="544">
        <f t="shared" si="16"/>
        <v>0</v>
      </c>
      <c r="AS53" s="36">
        <f t="shared" si="17"/>
        <v>0</v>
      </c>
      <c r="AT53" s="544">
        <f>IF(PF!R49&gt;0,(CA53),0)</f>
        <v>0</v>
      </c>
      <c r="AU53" s="36">
        <f t="shared" si="18"/>
        <v>0</v>
      </c>
      <c r="AV53" s="545">
        <f t="shared" si="19"/>
        <v>0</v>
      </c>
      <c r="AW53" s="36"/>
      <c r="AX53" s="543">
        <f t="shared" si="20"/>
        <v>0</v>
      </c>
      <c r="AY53" s="36">
        <f t="shared" si="21"/>
        <v>0</v>
      </c>
      <c r="AZ53" s="544">
        <f t="shared" si="22"/>
        <v>0</v>
      </c>
      <c r="BA53" s="907">
        <f t="shared" si="23"/>
        <v>0</v>
      </c>
      <c r="BB53" s="951">
        <f>(BA53-AY53)*'E S'!$F$47</f>
        <v>0</v>
      </c>
      <c r="BC53" s="952"/>
      <c r="BD53" s="953">
        <f t="shared" si="38"/>
        <v>0</v>
      </c>
      <c r="BE53" s="954"/>
      <c r="BF53" s="953">
        <f t="shared" si="24"/>
        <v>0</v>
      </c>
      <c r="BG53" s="954">
        <f t="shared" si="25"/>
        <v>0</v>
      </c>
      <c r="BH53" s="952"/>
      <c r="BI53" s="952"/>
      <c r="BJ53" s="955"/>
      <c r="BK53" s="955">
        <v>1</v>
      </c>
      <c r="BL53" s="956">
        <f t="shared" si="26"/>
        <v>0</v>
      </c>
      <c r="BM53" s="955">
        <v>2</v>
      </c>
      <c r="BN53" s="956">
        <f t="shared" si="27"/>
        <v>0</v>
      </c>
      <c r="BO53" s="955">
        <v>3</v>
      </c>
      <c r="BP53" s="956">
        <f t="shared" si="28"/>
        <v>0</v>
      </c>
      <c r="BQ53" s="955">
        <v>4</v>
      </c>
      <c r="BR53" s="956">
        <f t="shared" si="39"/>
        <v>0</v>
      </c>
      <c r="BS53" s="955">
        <v>5</v>
      </c>
      <c r="BT53" s="956">
        <f t="shared" si="29"/>
        <v>0</v>
      </c>
      <c r="BU53" s="955"/>
      <c r="BV53" s="957">
        <f t="shared" si="30"/>
        <v>0</v>
      </c>
      <c r="BW53" s="957">
        <f t="shared" si="31"/>
        <v>0</v>
      </c>
      <c r="BX53" s="955">
        <f t="shared" si="32"/>
        <v>0</v>
      </c>
      <c r="BY53" s="958">
        <f t="shared" si="33"/>
        <v>0</v>
      </c>
      <c r="BZ53" s="959">
        <f t="shared" si="34"/>
        <v>0</v>
      </c>
      <c r="CA53" s="960">
        <f t="shared" si="35"/>
        <v>0</v>
      </c>
      <c r="CB53" s="960">
        <f t="shared" si="40"/>
        <v>0</v>
      </c>
      <c r="CC53" s="960">
        <f t="shared" si="36"/>
        <v>0</v>
      </c>
      <c r="CD53" s="954">
        <f t="shared" si="37"/>
        <v>0</v>
      </c>
      <c r="CE53" s="908"/>
      <c r="CF53" s="908"/>
      <c r="CG53" s="729"/>
      <c r="CH53" s="729"/>
      <c r="CI53" s="729"/>
      <c r="CJ53" s="729"/>
      <c r="CK53" s="729"/>
      <c r="CL53" s="729"/>
      <c r="CM53" s="729"/>
      <c r="CN53" s="729"/>
    </row>
    <row r="54" spans="1:92" s="3" customFormat="1" ht="12" hidden="1">
      <c r="A54" s="870">
        <v>44</v>
      </c>
      <c r="B54" s="71"/>
      <c r="C54" s="873"/>
      <c r="D54" s="71"/>
      <c r="F54" s="71"/>
      <c r="H54" s="75"/>
      <c r="I54" s="34"/>
      <c r="J54" s="75"/>
      <c r="K54" s="76"/>
      <c r="L54" s="916"/>
      <c r="M54" s="57"/>
      <c r="N54" s="549">
        <f t="shared" si="1"/>
        <v>0</v>
      </c>
      <c r="O54" s="57"/>
      <c r="P54" s="81"/>
      <c r="Q54" s="77">
        <f t="shared" si="2"/>
        <v>0</v>
      </c>
      <c r="R54" s="78"/>
      <c r="S54" s="37">
        <f t="shared" si="3"/>
        <v>0</v>
      </c>
      <c r="T54" s="82"/>
      <c r="U54" s="83">
        <f t="shared" si="4"/>
        <v>0</v>
      </c>
      <c r="V54" s="84"/>
      <c r="W54" s="57"/>
      <c r="X54" s="85"/>
      <c r="Z54" s="543">
        <f t="shared" si="5"/>
        <v>0</v>
      </c>
      <c r="AA54" s="36">
        <f t="shared" si="6"/>
        <v>0</v>
      </c>
      <c r="AB54" s="550"/>
      <c r="AC54" s="551">
        <f t="shared" si="7"/>
        <v>0</v>
      </c>
      <c r="AD54" s="543">
        <f t="shared" si="8"/>
        <v>0</v>
      </c>
      <c r="AE54" s="551">
        <f t="shared" si="9"/>
        <v>0</v>
      </c>
      <c r="AF54" s="543">
        <f t="shared" si="10"/>
        <v>0</v>
      </c>
      <c r="AG54" s="36">
        <f t="shared" si="11"/>
        <v>0</v>
      </c>
      <c r="AH54" s="86"/>
      <c r="AI54" s="36"/>
      <c r="AJ54" s="542">
        <f t="shared" si="12"/>
        <v>0</v>
      </c>
      <c r="AK54" s="36">
        <f t="shared" si="13"/>
        <v>0</v>
      </c>
      <c r="AL54" s="831"/>
      <c r="AM54" s="36">
        <f t="shared" si="14"/>
        <v>0</v>
      </c>
      <c r="AN54" s="86"/>
      <c r="AO54" s="34" t="str">
        <f t="shared" si="15"/>
        <v>.</v>
      </c>
      <c r="AP54" s="86"/>
      <c r="AQ54" s="36"/>
      <c r="AR54" s="544">
        <f t="shared" si="16"/>
        <v>0</v>
      </c>
      <c r="AS54" s="36">
        <f t="shared" si="17"/>
        <v>0</v>
      </c>
      <c r="AT54" s="544">
        <f>IF(PF!R50&gt;0,(CA54),0)</f>
        <v>0</v>
      </c>
      <c r="AU54" s="36">
        <f t="shared" si="18"/>
        <v>0</v>
      </c>
      <c r="AV54" s="545">
        <f t="shared" si="19"/>
        <v>0</v>
      </c>
      <c r="AW54" s="36"/>
      <c r="AX54" s="543">
        <f t="shared" si="20"/>
        <v>0</v>
      </c>
      <c r="AY54" s="36">
        <f t="shared" si="21"/>
        <v>0</v>
      </c>
      <c r="AZ54" s="544">
        <f t="shared" si="22"/>
        <v>0</v>
      </c>
      <c r="BA54" s="907">
        <f t="shared" si="23"/>
        <v>0</v>
      </c>
      <c r="BB54" s="951">
        <f>(BA54-AY54)*'E S'!$F$47</f>
        <v>0</v>
      </c>
      <c r="BC54" s="952"/>
      <c r="BD54" s="953">
        <f t="shared" si="38"/>
        <v>0</v>
      </c>
      <c r="BE54" s="954"/>
      <c r="BF54" s="953">
        <f t="shared" si="24"/>
        <v>0</v>
      </c>
      <c r="BG54" s="954">
        <f t="shared" si="25"/>
        <v>0</v>
      </c>
      <c r="BH54" s="952"/>
      <c r="BI54" s="952"/>
      <c r="BJ54" s="955"/>
      <c r="BK54" s="955">
        <v>1</v>
      </c>
      <c r="BL54" s="956">
        <f t="shared" si="26"/>
        <v>0</v>
      </c>
      <c r="BM54" s="955">
        <v>2</v>
      </c>
      <c r="BN54" s="956">
        <f t="shared" si="27"/>
        <v>0</v>
      </c>
      <c r="BO54" s="955">
        <v>3</v>
      </c>
      <c r="BP54" s="956">
        <f t="shared" si="28"/>
        <v>0</v>
      </c>
      <c r="BQ54" s="955">
        <v>4</v>
      </c>
      <c r="BR54" s="956">
        <f t="shared" si="39"/>
        <v>0</v>
      </c>
      <c r="BS54" s="955">
        <v>5</v>
      </c>
      <c r="BT54" s="956">
        <f t="shared" si="29"/>
        <v>0</v>
      </c>
      <c r="BU54" s="955"/>
      <c r="BV54" s="957">
        <f t="shared" si="30"/>
        <v>0</v>
      </c>
      <c r="BW54" s="957">
        <f t="shared" si="31"/>
        <v>0</v>
      </c>
      <c r="BX54" s="955">
        <f t="shared" si="32"/>
        <v>0</v>
      </c>
      <c r="BY54" s="958">
        <f t="shared" si="33"/>
        <v>0</v>
      </c>
      <c r="BZ54" s="959">
        <f t="shared" si="34"/>
        <v>0</v>
      </c>
      <c r="CA54" s="960">
        <f t="shared" si="35"/>
        <v>0</v>
      </c>
      <c r="CB54" s="960">
        <f t="shared" si="40"/>
        <v>0</v>
      </c>
      <c r="CC54" s="960">
        <f t="shared" si="36"/>
        <v>0</v>
      </c>
      <c r="CD54" s="954">
        <f t="shared" si="37"/>
        <v>0</v>
      </c>
      <c r="CE54" s="908"/>
      <c r="CF54" s="908"/>
      <c r="CG54" s="729"/>
      <c r="CH54" s="729"/>
      <c r="CI54" s="729"/>
      <c r="CJ54" s="729"/>
      <c r="CK54" s="729"/>
      <c r="CL54" s="729"/>
      <c r="CM54" s="729"/>
      <c r="CN54" s="729"/>
    </row>
    <row r="55" spans="1:92" s="3" customFormat="1" ht="9" customHeight="1">
      <c r="A55" s="870"/>
      <c r="C55" s="873"/>
      <c r="D55" s="2"/>
      <c r="H55" s="40"/>
      <c r="I55" s="41"/>
      <c r="J55" s="40"/>
      <c r="K55" s="40"/>
      <c r="L55" s="40"/>
      <c r="N55" s="40"/>
      <c r="R55" s="39"/>
      <c r="S55" s="39"/>
      <c r="T55" s="39"/>
      <c r="U55" s="39"/>
      <c r="V55" s="39"/>
      <c r="X55" s="42"/>
      <c r="Z55" s="38"/>
      <c r="AB55" s="512"/>
      <c r="AC55" s="512"/>
      <c r="AD55" s="552"/>
      <c r="AE55" s="512"/>
      <c r="AF55" s="552"/>
      <c r="AH55" s="35"/>
      <c r="AJ55" s="43"/>
      <c r="AN55" s="35"/>
      <c r="AP55" s="35"/>
      <c r="AV55" s="35"/>
      <c r="BA55" s="908"/>
      <c r="BB55" s="954"/>
      <c r="BC55" s="952"/>
      <c r="BD55" s="954"/>
      <c r="BE55" s="954"/>
      <c r="BF55" s="961"/>
      <c r="BG55" s="954"/>
      <c r="BH55" s="952"/>
      <c r="BI55" s="952"/>
      <c r="BJ55" s="955"/>
      <c r="BK55" s="955"/>
      <c r="BL55" s="956"/>
      <c r="BM55" s="955"/>
      <c r="BN55" s="956"/>
      <c r="BO55" s="955"/>
      <c r="BP55" s="956"/>
      <c r="BQ55" s="955"/>
      <c r="BR55" s="956"/>
      <c r="BS55" s="955"/>
      <c r="BT55" s="956"/>
      <c r="BU55" s="955"/>
      <c r="BV55" s="955"/>
      <c r="BW55" s="955"/>
      <c r="BX55" s="955"/>
      <c r="BY55" s="959"/>
      <c r="BZ55" s="959"/>
      <c r="CA55" s="952"/>
      <c r="CB55" s="952"/>
      <c r="CC55" s="952"/>
      <c r="CD55" s="952"/>
      <c r="CE55" s="908"/>
      <c r="CF55" s="908"/>
      <c r="CG55" s="729"/>
      <c r="CH55" s="729"/>
      <c r="CI55" s="729"/>
      <c r="CJ55" s="729"/>
      <c r="CK55" s="729"/>
      <c r="CL55" s="729"/>
      <c r="CM55" s="729"/>
      <c r="CN55" s="729"/>
    </row>
    <row r="56" spans="1:92" ht="18" customHeight="1" thickBot="1">
      <c r="B56" s="882" t="s">
        <v>113</v>
      </c>
      <c r="C56" s="878"/>
      <c r="D56" s="547">
        <f>SUM(D11:D55)</f>
        <v>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46">
        <f>SUM(Q11:Q54)</f>
        <v>7127</v>
      </c>
      <c r="S56" s="10"/>
      <c r="T56" s="10"/>
      <c r="U56" s="10"/>
      <c r="V56" s="10"/>
      <c r="W56" s="5"/>
      <c r="X56" s="10"/>
      <c r="Y56" s="5"/>
      <c r="Z56" s="548">
        <f>SUM(AA11:AA54)</f>
        <v>458.40000000000003</v>
      </c>
      <c r="AA56" s="87"/>
      <c r="AB56" s="540">
        <f>SUM(AC11:AC54)</f>
        <v>0</v>
      </c>
      <c r="AC56" s="553"/>
      <c r="AD56" s="540">
        <f>SUM(AE11:AE54)</f>
        <v>121.45309090909092</v>
      </c>
      <c r="AE56" s="553"/>
      <c r="AF56" s="540">
        <f>SUM(AG11:AG54)</f>
        <v>75.185246753246844</v>
      </c>
      <c r="AG56" s="87"/>
      <c r="AH56" s="72"/>
      <c r="AI56" s="87"/>
      <c r="AJ56" s="540">
        <f>SUM(AK11:AK54)</f>
        <v>0</v>
      </c>
      <c r="AK56" s="87"/>
      <c r="AL56" s="540">
        <f>SUM(AM11:AM54)</f>
        <v>0</v>
      </c>
      <c r="AM56" s="87"/>
      <c r="AN56" s="72"/>
      <c r="AO56" s="87"/>
      <c r="AP56" s="72"/>
      <c r="AQ56" s="87"/>
      <c r="AR56" s="540">
        <f>SUM(AS11:AS54)</f>
        <v>0</v>
      </c>
      <c r="AS56" s="87"/>
      <c r="AT56" s="540">
        <f>SUM(AU11:AU54)</f>
        <v>0</v>
      </c>
      <c r="AU56" s="87"/>
      <c r="AV56" s="541">
        <f>ROUNDUP(SUM(AV11:AV54),0)</f>
        <v>0</v>
      </c>
      <c r="AW56" s="87"/>
      <c r="AX56" s="540">
        <f>SUM(AY11:AY54)</f>
        <v>0</v>
      </c>
      <c r="AY56" s="87"/>
      <c r="AZ56" s="540">
        <f>TRUNC((SUM(BA11:BA54)),2)</f>
        <v>7782.03</v>
      </c>
      <c r="BA56" s="902"/>
      <c r="BB56" s="962"/>
      <c r="BC56" s="932"/>
      <c r="BD56" s="962"/>
      <c r="BE56" s="932"/>
      <c r="BF56" s="962">
        <f>SUM(BF11:BF55)</f>
        <v>13190.777375699934</v>
      </c>
    </row>
    <row r="57" spans="1:92" ht="9" customHeight="1">
      <c r="R57" s="3"/>
      <c r="S57" s="3"/>
      <c r="T57" s="39"/>
      <c r="U57" s="3"/>
      <c r="V57" s="3"/>
      <c r="X57" s="6"/>
      <c r="Z57" s="7"/>
      <c r="AD57" s="4"/>
    </row>
    <row r="59" spans="1:92" ht="9" customHeight="1">
      <c r="C59" s="879"/>
      <c r="D59" s="45"/>
      <c r="E59" s="46"/>
      <c r="F59" s="46"/>
      <c r="G59" s="46"/>
      <c r="H59" s="46"/>
      <c r="I59" s="46"/>
      <c r="J59" s="47"/>
      <c r="K59" s="47"/>
      <c r="L59" s="47"/>
      <c r="M59" s="47"/>
      <c r="N59" s="47"/>
      <c r="O59" s="47"/>
      <c r="P59" s="47"/>
      <c r="Q59" s="47"/>
      <c r="R59" s="46"/>
      <c r="S59" s="46"/>
      <c r="T59" s="883"/>
    </row>
    <row r="60" spans="1:92" ht="18" customHeight="1">
      <c r="C60" s="880"/>
      <c r="D60" s="1030" t="s">
        <v>203</v>
      </c>
      <c r="E60" s="1031"/>
      <c r="F60" s="1031"/>
      <c r="G60" s="1031"/>
      <c r="H60" s="1031"/>
      <c r="I60" s="1031"/>
      <c r="J60" s="1031"/>
      <c r="K60" s="1031"/>
      <c r="L60" s="1031"/>
      <c r="M60" s="1031"/>
      <c r="N60" s="1031"/>
      <c r="O60" s="1031"/>
      <c r="P60" s="1031"/>
      <c r="Q60" s="1031"/>
      <c r="R60" s="1031"/>
      <c r="S60" s="1031"/>
      <c r="T60" s="1031"/>
      <c r="U60" s="1031"/>
      <c r="V60" s="1031"/>
      <c r="W60" s="1031"/>
      <c r="X60" s="1031"/>
      <c r="Y60" s="1031"/>
      <c r="Z60" s="1032"/>
      <c r="BL60" s="934">
        <f>AD11+AF11+BT11</f>
        <v>102.92903896103901</v>
      </c>
    </row>
    <row r="61" spans="1:92" ht="3.75" customHeight="1">
      <c r="C61" s="880"/>
      <c r="D61" s="116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102"/>
      <c r="U61" s="69"/>
      <c r="V61" s="69"/>
      <c r="X61" s="4"/>
      <c r="Z61" s="106"/>
    </row>
    <row r="62" spans="1:92" ht="18" customHeight="1">
      <c r="B62" s="4"/>
      <c r="C62" s="880"/>
      <c r="D62" s="117" t="s">
        <v>207</v>
      </c>
      <c r="E62" s="69"/>
      <c r="F62" s="69" t="s">
        <v>200</v>
      </c>
      <c r="G62" s="69"/>
      <c r="H62" s="69"/>
      <c r="I62" s="69"/>
      <c r="J62" s="69"/>
      <c r="K62" s="69"/>
      <c r="L62" s="69"/>
      <c r="M62" s="69"/>
      <c r="N62" s="69"/>
      <c r="O62" s="69"/>
      <c r="P62" s="1017">
        <v>365</v>
      </c>
      <c r="Q62" s="1017"/>
      <c r="R62" s="118"/>
      <c r="S62" s="69"/>
      <c r="T62" s="102"/>
      <c r="U62" s="69"/>
      <c r="V62" s="69"/>
      <c r="X62" s="4"/>
      <c r="Z62" s="106"/>
      <c r="BL62" s="934">
        <f>BL60/5</f>
        <v>20.585807792207802</v>
      </c>
    </row>
    <row r="63" spans="1:92" ht="3.75" customHeight="1">
      <c r="B63" s="4"/>
      <c r="C63" s="880"/>
      <c r="D63" s="117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18"/>
      <c r="S63" s="69"/>
      <c r="T63" s="102"/>
      <c r="U63" s="69"/>
      <c r="V63" s="69"/>
      <c r="X63" s="4"/>
      <c r="Z63" s="106"/>
    </row>
    <row r="64" spans="1:92" ht="18" customHeight="1">
      <c r="B64" s="4"/>
      <c r="C64" s="881"/>
      <c r="D64" s="117" t="s">
        <v>208</v>
      </c>
      <c r="E64" s="69"/>
      <c r="F64" s="69" t="s">
        <v>206</v>
      </c>
      <c r="G64" s="69"/>
      <c r="H64" s="69"/>
      <c r="I64" s="69"/>
      <c r="J64" s="69"/>
      <c r="K64" s="69"/>
      <c r="L64" s="69"/>
      <c r="M64" s="69"/>
      <c r="N64" s="69"/>
      <c r="O64" s="69"/>
      <c r="P64" s="1019">
        <f>ROUND(P62/7,2)</f>
        <v>52.14</v>
      </c>
      <c r="Q64" s="1019"/>
      <c r="R64" s="103" t="s">
        <v>214</v>
      </c>
      <c r="S64" s="69"/>
      <c r="T64" s="102"/>
      <c r="U64" s="69"/>
      <c r="V64" s="69"/>
      <c r="X64" s="4"/>
      <c r="Z64" s="106"/>
    </row>
    <row r="65" spans="2:26" ht="3.75" customHeight="1">
      <c r="B65" s="4"/>
      <c r="C65" s="881"/>
      <c r="D65" s="117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58"/>
      <c r="Q65" s="58"/>
      <c r="R65" s="103"/>
      <c r="S65" s="69"/>
      <c r="T65" s="102"/>
      <c r="U65" s="69"/>
      <c r="V65" s="69"/>
      <c r="X65" s="4"/>
      <c r="Z65" s="106"/>
    </row>
    <row r="66" spans="2:26" ht="18" customHeight="1">
      <c r="B66" s="4"/>
      <c r="C66" s="881"/>
      <c r="D66" s="117" t="s">
        <v>209</v>
      </c>
      <c r="E66" s="69"/>
      <c r="F66" s="69" t="s">
        <v>469</v>
      </c>
      <c r="G66" s="69"/>
      <c r="H66" s="69"/>
      <c r="I66" s="69"/>
      <c r="J66" s="69"/>
      <c r="K66" s="69"/>
      <c r="L66" s="69"/>
      <c r="M66" s="69"/>
      <c r="N66" s="69"/>
      <c r="O66" s="69"/>
      <c r="P66" s="1020">
        <v>6</v>
      </c>
      <c r="Q66" s="1021"/>
      <c r="R66" s="103" t="s">
        <v>471</v>
      </c>
      <c r="S66" s="69"/>
      <c r="T66" s="102"/>
      <c r="U66" s="69"/>
      <c r="V66" s="69"/>
      <c r="X66" s="4"/>
      <c r="Z66" s="106"/>
    </row>
    <row r="67" spans="2:26" ht="3.75" customHeight="1">
      <c r="B67" s="4"/>
      <c r="C67" s="881"/>
      <c r="D67" s="117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103"/>
      <c r="S67" s="69"/>
      <c r="T67" s="102"/>
      <c r="U67" s="69"/>
      <c r="V67" s="69"/>
      <c r="X67" s="4"/>
      <c r="Z67" s="106"/>
    </row>
    <row r="68" spans="2:26" ht="18" customHeight="1">
      <c r="B68" s="4"/>
      <c r="C68" s="881"/>
      <c r="D68" s="117" t="s">
        <v>210</v>
      </c>
      <c r="E68" s="69"/>
      <c r="F68" s="69" t="s">
        <v>205</v>
      </c>
      <c r="G68" s="69"/>
      <c r="H68" s="69"/>
      <c r="I68" s="69"/>
      <c r="J68" s="69"/>
      <c r="K68" s="69"/>
      <c r="L68" s="69"/>
      <c r="M68" s="69"/>
      <c r="N68" s="69"/>
      <c r="O68" s="69"/>
      <c r="P68" s="1018">
        <f>ROUND(P64*P66,2)</f>
        <v>312.83999999999997</v>
      </c>
      <c r="Q68" s="1018"/>
      <c r="R68" s="103" t="s">
        <v>470</v>
      </c>
      <c r="S68" s="69"/>
      <c r="T68" s="102"/>
      <c r="U68" s="69"/>
      <c r="V68" s="69"/>
      <c r="X68" s="4"/>
      <c r="Z68" s="106"/>
    </row>
    <row r="69" spans="2:26" ht="3.75" customHeight="1">
      <c r="B69" s="4"/>
      <c r="C69" s="881"/>
      <c r="D69" s="117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103"/>
      <c r="S69" s="69"/>
      <c r="T69" s="102"/>
      <c r="U69" s="69"/>
      <c r="V69" s="69"/>
      <c r="X69" s="4"/>
      <c r="Z69" s="106"/>
    </row>
    <row r="70" spans="2:26" ht="18" customHeight="1">
      <c r="B70" s="4"/>
      <c r="C70" s="881"/>
      <c r="D70" s="117" t="s">
        <v>211</v>
      </c>
      <c r="E70" s="69"/>
      <c r="F70" s="69" t="s">
        <v>201</v>
      </c>
      <c r="G70" s="69"/>
      <c r="H70" s="69"/>
      <c r="I70" s="69"/>
      <c r="J70" s="69"/>
      <c r="K70" s="69"/>
      <c r="L70" s="69"/>
      <c r="M70" s="69"/>
      <c r="N70" s="69"/>
      <c r="O70" s="69"/>
      <c r="P70" s="1019">
        <v>12</v>
      </c>
      <c r="Q70" s="1019"/>
      <c r="R70" s="103"/>
      <c r="S70" s="69"/>
      <c r="T70" s="102"/>
      <c r="U70" s="69"/>
      <c r="V70" s="69"/>
      <c r="X70" s="4"/>
      <c r="Z70" s="106"/>
    </row>
    <row r="71" spans="2:26" ht="3.75" customHeight="1">
      <c r="B71" s="4"/>
      <c r="C71" s="881"/>
      <c r="D71" s="117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103"/>
      <c r="S71" s="69"/>
      <c r="T71" s="102"/>
      <c r="U71" s="69"/>
      <c r="V71" s="69"/>
      <c r="X71" s="4"/>
      <c r="Z71" s="106"/>
    </row>
    <row r="72" spans="2:26" ht="18" customHeight="1">
      <c r="B72" s="4"/>
      <c r="C72" s="881"/>
      <c r="D72" s="117" t="s">
        <v>212</v>
      </c>
      <c r="E72" s="69"/>
      <c r="F72" s="69" t="s">
        <v>204</v>
      </c>
      <c r="G72" s="69"/>
      <c r="H72" s="69"/>
      <c r="I72" s="69"/>
      <c r="J72" s="69"/>
      <c r="K72" s="69"/>
      <c r="L72" s="69"/>
      <c r="M72" s="69"/>
      <c r="N72" s="69"/>
      <c r="O72" s="69"/>
      <c r="P72" s="1024">
        <v>12</v>
      </c>
      <c r="Q72" s="1025"/>
      <c r="R72" s="103" t="s">
        <v>215</v>
      </c>
      <c r="S72" s="69"/>
      <c r="T72" s="102"/>
      <c r="U72" s="69"/>
      <c r="V72" s="69"/>
      <c r="X72" s="4"/>
      <c r="Z72" s="106"/>
    </row>
    <row r="73" spans="2:26" ht="3.75" customHeight="1">
      <c r="B73" s="4"/>
      <c r="C73" s="881"/>
      <c r="D73" s="117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103"/>
      <c r="S73" s="69"/>
      <c r="T73" s="102"/>
      <c r="U73" s="69"/>
      <c r="V73" s="69"/>
      <c r="X73" s="4"/>
      <c r="Z73" s="106"/>
    </row>
    <row r="74" spans="2:26" ht="18" customHeight="1">
      <c r="B74" s="4"/>
      <c r="C74" s="881"/>
      <c r="D74" s="117" t="s">
        <v>213</v>
      </c>
      <c r="E74" s="69"/>
      <c r="F74" s="69" t="s">
        <v>202</v>
      </c>
      <c r="G74" s="69"/>
      <c r="H74" s="69"/>
      <c r="I74" s="69"/>
      <c r="J74" s="69"/>
      <c r="K74" s="69"/>
      <c r="L74" s="69"/>
      <c r="M74" s="69"/>
      <c r="N74" s="69"/>
      <c r="O74" s="69"/>
      <c r="P74" s="1018">
        <f>ROUND(P68-P72,2)</f>
        <v>300.83999999999997</v>
      </c>
      <c r="Q74" s="1018"/>
      <c r="R74" s="103" t="s">
        <v>473</v>
      </c>
      <c r="S74" s="69"/>
      <c r="T74" s="102"/>
      <c r="U74" s="69"/>
      <c r="V74" s="69"/>
      <c r="X74" s="4"/>
      <c r="Z74" s="106"/>
    </row>
    <row r="75" spans="2:26" ht="3.75" customHeight="1">
      <c r="B75" s="4"/>
      <c r="C75" s="881"/>
      <c r="D75" s="117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103"/>
      <c r="S75" s="69"/>
      <c r="T75" s="102"/>
      <c r="U75" s="69"/>
      <c r="V75" s="69"/>
      <c r="X75" s="4"/>
      <c r="Z75" s="106"/>
    </row>
    <row r="76" spans="2:26" ht="18" customHeight="1">
      <c r="B76" s="4"/>
      <c r="C76" s="881"/>
      <c r="D76" s="119" t="s">
        <v>423</v>
      </c>
      <c r="E76" s="107"/>
      <c r="F76" s="107" t="s">
        <v>1</v>
      </c>
      <c r="G76" s="107"/>
      <c r="H76" s="107"/>
      <c r="I76" s="107"/>
      <c r="J76" s="107"/>
      <c r="K76" s="107"/>
      <c r="L76" s="107"/>
      <c r="M76" s="107"/>
      <c r="N76" s="107"/>
      <c r="O76" s="107"/>
      <c r="P76" s="1016">
        <f>ROUND(P74/12,0)</f>
        <v>25</v>
      </c>
      <c r="Q76" s="1016"/>
      <c r="R76" s="108" t="s">
        <v>474</v>
      </c>
      <c r="S76" s="107"/>
      <c r="T76" s="109"/>
      <c r="U76" s="107"/>
      <c r="V76" s="107"/>
      <c r="W76" s="110"/>
      <c r="X76" s="110"/>
      <c r="Y76" s="110"/>
      <c r="Z76" s="111"/>
    </row>
    <row r="77" spans="2:26" ht="3.75" customHeight="1">
      <c r="C77" s="881"/>
      <c r="D77" s="104"/>
      <c r="E77" s="57"/>
      <c r="F77" s="69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105"/>
      <c r="S77" s="69"/>
      <c r="T77" s="102"/>
      <c r="U77" s="69"/>
      <c r="V77" s="69"/>
    </row>
    <row r="78" spans="2:26" ht="12.75" customHeight="1">
      <c r="C78" s="881"/>
      <c r="D78" s="44"/>
      <c r="F78" s="4"/>
    </row>
    <row r="79" spans="2:26" ht="3.75" customHeight="1"/>
    <row r="80" spans="2:26" ht="18" customHeight="1">
      <c r="D80" s="1007" t="s">
        <v>455</v>
      </c>
      <c r="E80" s="1008"/>
      <c r="F80" s="1008"/>
      <c r="G80" s="1008"/>
      <c r="H80" s="1008"/>
      <c r="I80" s="1008"/>
      <c r="J80" s="1008"/>
      <c r="K80" s="1008"/>
      <c r="L80" s="1008"/>
      <c r="M80" s="1008"/>
      <c r="N80" s="1008"/>
      <c r="O80" s="1008"/>
      <c r="P80" s="1008"/>
      <c r="Q80" s="1008"/>
      <c r="R80" s="1009"/>
    </row>
    <row r="81" spans="4:18" ht="18.75" customHeight="1">
      <c r="D81" s="120" t="s">
        <v>207</v>
      </c>
      <c r="E81" s="97"/>
      <c r="F81" s="1011" t="s">
        <v>456</v>
      </c>
      <c r="G81" s="1011"/>
      <c r="H81" s="1011"/>
      <c r="I81" s="1011"/>
      <c r="J81" s="1011"/>
      <c r="K81" s="1011"/>
      <c r="L81" s="1011"/>
      <c r="M81" s="97"/>
      <c r="N81" s="122">
        <v>30</v>
      </c>
      <c r="O81" s="113" t="s">
        <v>457</v>
      </c>
      <c r="P81" s="113"/>
      <c r="Q81" s="124"/>
      <c r="R81" s="125"/>
    </row>
    <row r="82" spans="4:18" ht="3.75" customHeight="1">
      <c r="D82" s="120"/>
      <c r="E82" s="97"/>
      <c r="F82" s="121"/>
      <c r="G82" s="121"/>
      <c r="H82" s="121"/>
      <c r="I82" s="121"/>
      <c r="J82" s="121"/>
      <c r="K82" s="121"/>
      <c r="L82" s="121"/>
      <c r="M82" s="97"/>
      <c r="N82" s="122"/>
      <c r="O82" s="112"/>
      <c r="P82" s="112"/>
      <c r="Q82" s="124"/>
      <c r="R82" s="125"/>
    </row>
    <row r="83" spans="4:18" ht="18" customHeight="1">
      <c r="D83" s="120" t="s">
        <v>208</v>
      </c>
      <c r="E83" s="97"/>
      <c r="F83" s="1011" t="s">
        <v>458</v>
      </c>
      <c r="G83" s="1011"/>
      <c r="H83" s="1011"/>
      <c r="I83" s="1011"/>
      <c r="J83" s="1011"/>
      <c r="K83" s="1011"/>
      <c r="L83" s="1011"/>
      <c r="M83" s="97"/>
      <c r="N83" s="126">
        <v>3</v>
      </c>
      <c r="O83" s="112"/>
      <c r="P83" s="115"/>
      <c r="Q83" s="124"/>
      <c r="R83" s="125"/>
    </row>
    <row r="84" spans="4:18" ht="11.25" customHeight="1">
      <c r="D84" s="120"/>
      <c r="E84" s="97"/>
      <c r="F84" s="1011" t="s">
        <v>459</v>
      </c>
      <c r="G84" s="1011"/>
      <c r="H84" s="1011"/>
      <c r="I84" s="1011"/>
      <c r="J84" s="1011"/>
      <c r="K84" s="1011"/>
      <c r="L84" s="1011"/>
      <c r="M84" s="97"/>
      <c r="N84" s="122"/>
      <c r="O84" s="112"/>
      <c r="P84" s="115"/>
      <c r="Q84" s="124"/>
      <c r="R84" s="125"/>
    </row>
    <row r="85" spans="4:18" ht="17.25" customHeight="1">
      <c r="D85" s="120" t="s">
        <v>209</v>
      </c>
      <c r="E85" s="1011" t="s">
        <v>460</v>
      </c>
      <c r="F85" s="1011"/>
      <c r="G85" s="1011"/>
      <c r="H85" s="1011"/>
      <c r="I85" s="1011"/>
      <c r="J85" s="1011"/>
      <c r="K85" s="1011"/>
      <c r="L85" s="1011"/>
      <c r="M85" s="97"/>
      <c r="N85" s="126">
        <v>2</v>
      </c>
      <c r="O85" s="112"/>
      <c r="P85" s="115"/>
      <c r="Q85" s="124"/>
      <c r="R85" s="125"/>
    </row>
    <row r="86" spans="4:18" ht="3.75" customHeight="1">
      <c r="D86" s="120"/>
      <c r="E86" s="97"/>
      <c r="F86" s="121"/>
      <c r="G86" s="121"/>
      <c r="H86" s="121"/>
      <c r="I86" s="121"/>
      <c r="J86" s="121"/>
      <c r="K86" s="121"/>
      <c r="L86" s="121"/>
      <c r="M86" s="97"/>
      <c r="N86" s="128"/>
      <c r="O86" s="112"/>
      <c r="P86" s="115"/>
      <c r="Q86" s="124"/>
      <c r="R86" s="125"/>
    </row>
    <row r="87" spans="4:18" ht="18" customHeight="1">
      <c r="D87" s="120" t="s">
        <v>210</v>
      </c>
      <c r="E87" s="97"/>
      <c r="F87" s="1011" t="s">
        <v>113</v>
      </c>
      <c r="G87" s="1011"/>
      <c r="H87" s="1011"/>
      <c r="I87" s="1011"/>
      <c r="J87" s="1011"/>
      <c r="K87" s="1011"/>
      <c r="L87" s="1011"/>
      <c r="M87" s="97"/>
      <c r="N87" s="122">
        <f>N83+N85</f>
        <v>5</v>
      </c>
      <c r="O87" s="1012" t="s">
        <v>461</v>
      </c>
      <c r="P87" s="1012"/>
      <c r="Q87" s="124"/>
      <c r="R87" s="125"/>
    </row>
    <row r="88" spans="4:18" ht="3.75" customHeight="1">
      <c r="D88" s="120"/>
      <c r="E88" s="97"/>
      <c r="F88" s="121"/>
      <c r="G88" s="127"/>
      <c r="H88" s="97"/>
      <c r="I88" s="97"/>
      <c r="J88" s="97"/>
      <c r="K88" s="97"/>
      <c r="L88" s="97"/>
      <c r="M88" s="97"/>
      <c r="N88" s="122"/>
      <c r="O88" s="114"/>
      <c r="P88" s="115"/>
      <c r="Q88" s="124"/>
      <c r="R88" s="125"/>
    </row>
    <row r="89" spans="4:18" ht="18" customHeight="1">
      <c r="D89" s="120" t="s">
        <v>211</v>
      </c>
      <c r="E89" s="97"/>
      <c r="F89" s="1011" t="s">
        <v>462</v>
      </c>
      <c r="G89" s="1011"/>
      <c r="H89" s="1011"/>
      <c r="I89" s="1011"/>
      <c r="J89" s="1011"/>
      <c r="K89" s="1011"/>
      <c r="L89" s="1011"/>
      <c r="M89" s="97"/>
      <c r="N89" s="128">
        <f>(N81/N87)</f>
        <v>6</v>
      </c>
      <c r="O89" s="1012" t="s">
        <v>463</v>
      </c>
      <c r="P89" s="1012"/>
      <c r="Q89" s="124"/>
      <c r="R89" s="125"/>
    </row>
    <row r="90" spans="4:18" ht="3.75" customHeight="1">
      <c r="D90" s="120"/>
      <c r="E90" s="97"/>
      <c r="F90" s="121"/>
      <c r="G90" s="127"/>
      <c r="H90" s="97"/>
      <c r="I90" s="97"/>
      <c r="J90" s="97"/>
      <c r="K90" s="97"/>
      <c r="L90" s="97"/>
      <c r="M90" s="97"/>
      <c r="N90" s="123"/>
      <c r="O90" s="114"/>
      <c r="P90" s="115"/>
      <c r="Q90" s="124"/>
      <c r="R90" s="125"/>
    </row>
    <row r="91" spans="4:18" ht="18" customHeight="1">
      <c r="D91" s="129" t="s">
        <v>212</v>
      </c>
      <c r="E91" s="1010" t="s">
        <v>464</v>
      </c>
      <c r="F91" s="1010"/>
      <c r="G91" s="1010"/>
      <c r="H91" s="1010"/>
      <c r="I91" s="1010"/>
      <c r="J91" s="1010"/>
      <c r="K91" s="1010"/>
      <c r="L91" s="1010"/>
      <c r="M91" s="130"/>
      <c r="N91" s="131">
        <f>ROUNDUP(N83*N89,0)</f>
        <v>18</v>
      </c>
      <c r="O91" s="1006" t="s">
        <v>465</v>
      </c>
      <c r="P91" s="1006"/>
      <c r="Q91" s="132"/>
      <c r="R91" s="133"/>
    </row>
    <row r="92" spans="4:18" ht="12.75" customHeight="1">
      <c r="D92" s="98"/>
      <c r="E92" s="95"/>
      <c r="F92" s="96"/>
      <c r="G92" s="98"/>
      <c r="H92" s="99"/>
      <c r="I92" s="99"/>
      <c r="J92" s="98"/>
      <c r="K92" s="100"/>
      <c r="L92" s="100"/>
      <c r="M92" s="100"/>
      <c r="N92" s="100"/>
      <c r="O92" s="100"/>
      <c r="P92" s="100"/>
    </row>
  </sheetData>
  <sheetProtection password="CADB" sheet="1" objects="1" scenarios="1" formatColumns="0" formatRows="0"/>
  <mergeCells count="25">
    <mergeCell ref="I4:J4"/>
    <mergeCell ref="P72:Q72"/>
    <mergeCell ref="P74:Q74"/>
    <mergeCell ref="I6:J6"/>
    <mergeCell ref="N4:O4"/>
    <mergeCell ref="D60:Z60"/>
    <mergeCell ref="AN8:AP8"/>
    <mergeCell ref="H8:J8"/>
    <mergeCell ref="F81:L81"/>
    <mergeCell ref="P76:Q76"/>
    <mergeCell ref="P62:Q62"/>
    <mergeCell ref="P68:Q68"/>
    <mergeCell ref="P70:Q70"/>
    <mergeCell ref="P64:Q64"/>
    <mergeCell ref="P66:Q66"/>
    <mergeCell ref="O91:P91"/>
    <mergeCell ref="D80:R80"/>
    <mergeCell ref="E91:L91"/>
    <mergeCell ref="E85:L85"/>
    <mergeCell ref="F87:L87"/>
    <mergeCell ref="F83:L83"/>
    <mergeCell ref="F84:L84"/>
    <mergeCell ref="F89:L89"/>
    <mergeCell ref="O89:P89"/>
    <mergeCell ref="O87:P87"/>
  </mergeCells>
  <phoneticPr fontId="0" type="noConversion"/>
  <hyperlinks>
    <hyperlink ref="J3" location="Menu!F10" tooltip="Volta ao menu principal" display="Menu"/>
    <hyperlink ref="X3" location="Benefícios!H14" tooltip="Benefícios" display="Próxima"/>
    <hyperlink ref="N3" location="Menu!F10" tooltip="Volta ao menu principal" display="Menu"/>
    <hyperlink ref="AB3" location="Benefícios!H14" tooltip="Benefícios" display="Próxima"/>
    <hyperlink ref="O3" location="Menu!F10" tooltip="Volta ao menu principal" display="Menu"/>
    <hyperlink ref="AC3" location="Benefícios!H14" tooltip="Benefícios" display="Próxima"/>
    <hyperlink ref="AN3" location="Benefícios!H14" tooltip="Benefícios" display="Próxima"/>
    <hyperlink ref="AP3" location="Benefícios!H14" tooltip="Benefícios" display="Próxima"/>
    <hyperlink ref="AV3" location="Benefícios!H14" tooltip="Benefícios" display="Próxima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72" fitToWidth="2" orientation="landscape" horizontalDpi="300" verticalDpi="300" r:id="rId1"/>
  <headerFooter alignWithMargins="0">
    <oddHeader>&amp;R&amp;P/&amp;N</oddHeader>
    <oddFooter>&amp;L&amp;A&amp;R&amp;F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  <pageSetUpPr autoPageBreaks="0"/>
  </sheetPr>
  <dimension ref="A1:CD53"/>
  <sheetViews>
    <sheetView showGridLines="0" showZeros="0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1.25"/>
  <cols>
    <col min="1" max="1" width="2.7109375" style="134" bestFit="1" customWidth="1"/>
    <col min="2" max="2" width="30.7109375" style="135" customWidth="1"/>
    <col min="3" max="3" width="1.7109375" style="135" customWidth="1"/>
    <col min="4" max="4" width="10.7109375" style="135" customWidth="1"/>
    <col min="5" max="5" width="1.7109375" style="135" customWidth="1"/>
    <col min="6" max="6" width="7.42578125" style="914" customWidth="1"/>
    <col min="7" max="7" width="1.42578125" style="135" customWidth="1"/>
    <col min="8" max="8" width="6.7109375" style="135" customWidth="1"/>
    <col min="9" max="9" width="9.7109375" style="135" customWidth="1"/>
    <col min="10" max="10" width="7.7109375" style="135" customWidth="1"/>
    <col min="11" max="11" width="1.7109375" style="135" customWidth="1"/>
    <col min="12" max="12" width="11.7109375" style="135" customWidth="1"/>
    <col min="13" max="13" width="1.7109375" style="135" customWidth="1"/>
    <col min="14" max="14" width="9.85546875" style="135" customWidth="1"/>
    <col min="15" max="15" width="1.7109375" style="135" customWidth="1"/>
    <col min="16" max="16" width="9.7109375" style="135" customWidth="1"/>
    <col min="17" max="17" width="2" style="911" customWidth="1"/>
    <col min="18" max="18" width="10.7109375" style="135" customWidth="1"/>
    <col min="19" max="19" width="1.7109375" style="135" customWidth="1"/>
    <col min="20" max="20" width="6.7109375" style="137" customWidth="1"/>
    <col min="21" max="21" width="9.7109375" style="136" customWidth="1"/>
    <col min="22" max="22" width="7.7109375" style="138" customWidth="1"/>
    <col min="23" max="23" width="1.7109375" style="135" customWidth="1"/>
    <col min="24" max="24" width="9.7109375" style="135" customWidth="1"/>
    <col min="25" max="25" width="1.7109375" style="135" customWidth="1"/>
    <col min="26" max="26" width="10.7109375" style="135" customWidth="1"/>
    <col min="27" max="27" width="1.7109375" style="135" customWidth="1"/>
    <col min="28" max="28" width="6.7109375" style="135" hidden="1" customWidth="1"/>
    <col min="29" max="29" width="9.7109375" style="136" hidden="1" customWidth="1"/>
    <col min="30" max="30" width="7.7109375" style="138" hidden="1" customWidth="1"/>
    <col min="31" max="31" width="1.7109375" style="135" hidden="1" customWidth="1"/>
    <col min="32" max="32" width="9.7109375" style="135" hidden="1" customWidth="1"/>
    <col min="33" max="33" width="1.7109375" style="135" hidden="1" customWidth="1"/>
    <col min="34" max="34" width="10.7109375" style="135" hidden="1" customWidth="1"/>
    <col min="35" max="35" width="1.7109375" style="135" hidden="1" customWidth="1"/>
    <col min="36" max="36" width="6.5703125" style="135" hidden="1" customWidth="1"/>
    <col min="37" max="37" width="9.7109375" style="136" hidden="1" customWidth="1"/>
    <col min="38" max="38" width="7.5703125" style="138" hidden="1" customWidth="1"/>
    <col min="39" max="39" width="1.7109375" style="135" hidden="1" customWidth="1"/>
    <col min="40" max="40" width="9.7109375" style="135" hidden="1" customWidth="1"/>
    <col min="41" max="41" width="1.7109375" style="135" hidden="1" customWidth="1"/>
    <col min="42" max="42" width="10.7109375" style="135" hidden="1" customWidth="1"/>
    <col min="43" max="43" width="1.7109375" style="135" hidden="1" customWidth="1"/>
    <col min="44" max="44" width="6.7109375" style="135" hidden="1" customWidth="1"/>
    <col min="45" max="45" width="9.7109375" style="136" hidden="1" customWidth="1"/>
    <col min="46" max="46" width="7.5703125" style="138" hidden="1" customWidth="1"/>
    <col min="47" max="47" width="1.7109375" style="135" hidden="1" customWidth="1"/>
    <col min="48" max="48" width="9.7109375" style="135" hidden="1" customWidth="1"/>
    <col min="49" max="49" width="1.7109375" style="135" hidden="1" customWidth="1"/>
    <col min="50" max="50" width="10.7109375" style="135" hidden="1" customWidth="1"/>
    <col min="51" max="51" width="1.7109375" style="135" hidden="1" customWidth="1"/>
    <col min="52" max="52" width="6.7109375" style="135" customWidth="1"/>
    <col min="53" max="53" width="9.7109375" style="136" customWidth="1"/>
    <col min="54" max="54" width="7.7109375" style="138" customWidth="1"/>
    <col min="55" max="55" width="1.7109375" style="135" customWidth="1"/>
    <col min="56" max="56" width="9.7109375" style="135" customWidth="1"/>
    <col min="57" max="57" width="1.7109375" style="135" customWidth="1"/>
    <col min="58" max="58" width="10.7109375" style="135" customWidth="1"/>
    <col min="59" max="59" width="1.7109375" style="135" hidden="1" customWidth="1"/>
    <col min="60" max="60" width="7.5703125" style="135" hidden="1" customWidth="1"/>
    <col min="61" max="61" width="9.7109375" style="136" hidden="1" customWidth="1"/>
    <col min="62" max="62" width="7.7109375" style="138" hidden="1" customWidth="1"/>
    <col min="63" max="63" width="1.7109375" style="135" hidden="1" customWidth="1"/>
    <col min="64" max="64" width="9.7109375" style="135" hidden="1" customWidth="1"/>
    <col min="65" max="65" width="1.7109375" style="135" hidden="1" customWidth="1"/>
    <col min="66" max="66" width="10.7109375" style="135" hidden="1" customWidth="1"/>
    <col min="67" max="67" width="1.7109375" style="135" hidden="1" customWidth="1"/>
    <col min="68" max="68" width="6.7109375" style="135" hidden="1" customWidth="1"/>
    <col min="69" max="69" width="9.7109375" style="136" hidden="1" customWidth="1"/>
    <col min="70" max="70" width="7.7109375" style="138" hidden="1" customWidth="1"/>
    <col min="71" max="71" width="1.7109375" style="135" hidden="1" customWidth="1"/>
    <col min="72" max="72" width="9.7109375" style="135" hidden="1" customWidth="1"/>
    <col min="73" max="73" width="1.7109375" style="135" hidden="1" customWidth="1"/>
    <col min="74" max="74" width="10.7109375" style="135" hidden="1" customWidth="1"/>
    <col min="75" max="75" width="9.140625" style="135"/>
    <col min="76" max="81" width="4.42578125" style="845" hidden="1" customWidth="1"/>
    <col min="82" max="16384" width="9.140625" style="135"/>
  </cols>
  <sheetData>
    <row r="1" spans="1:81" ht="9" customHeight="1">
      <c r="A1" s="139"/>
      <c r="C1" s="140"/>
      <c r="D1" s="140"/>
      <c r="E1" s="140"/>
      <c r="F1" s="913"/>
      <c r="G1" s="140"/>
      <c r="H1" s="140"/>
      <c r="J1" s="140"/>
      <c r="K1" s="140"/>
      <c r="L1" s="140"/>
      <c r="M1" s="140"/>
      <c r="N1" s="140"/>
      <c r="O1" s="140"/>
      <c r="P1" s="140"/>
      <c r="Q1" s="909"/>
      <c r="R1" s="140"/>
      <c r="S1" s="140"/>
      <c r="T1" s="142"/>
      <c r="U1" s="141"/>
      <c r="V1" s="143"/>
      <c r="W1" s="140"/>
      <c r="X1" s="140"/>
      <c r="Y1" s="140"/>
      <c r="Z1" s="140"/>
      <c r="AC1" s="141"/>
      <c r="AD1" s="143"/>
      <c r="AE1" s="140"/>
      <c r="AF1" s="140"/>
      <c r="AG1" s="140"/>
      <c r="AH1" s="140"/>
      <c r="AK1" s="141"/>
      <c r="AL1" s="143"/>
      <c r="AM1" s="140"/>
      <c r="AN1" s="140"/>
      <c r="AO1" s="140"/>
      <c r="AP1" s="140"/>
      <c r="AS1" s="141"/>
      <c r="AT1" s="143"/>
      <c r="AU1" s="140"/>
      <c r="AV1" s="140"/>
      <c r="AW1" s="140"/>
      <c r="AX1" s="140"/>
    </row>
    <row r="2" spans="1:81" ht="17.25" customHeight="1" thickBot="1">
      <c r="B2" s="889" t="s">
        <v>176</v>
      </c>
      <c r="D2" s="1036"/>
      <c r="E2" s="1036"/>
      <c r="G2" s="145"/>
      <c r="H2" s="1037" t="s">
        <v>117</v>
      </c>
      <c r="I2" s="1038"/>
      <c r="J2" s="1038"/>
      <c r="K2" s="1038"/>
      <c r="L2" s="1038"/>
      <c r="M2" s="1038"/>
      <c r="N2" s="1038"/>
      <c r="O2" s="1038"/>
      <c r="P2" s="1038"/>
      <c r="Q2" s="1038"/>
      <c r="R2" s="1039"/>
      <c r="T2" s="1040" t="s">
        <v>187</v>
      </c>
      <c r="U2" s="1041"/>
      <c r="V2" s="1041"/>
      <c r="W2" s="1041"/>
      <c r="X2" s="1041"/>
      <c r="Y2" s="1041"/>
      <c r="Z2" s="1042"/>
      <c r="AB2" s="1040" t="s">
        <v>94</v>
      </c>
      <c r="AC2" s="1041"/>
      <c r="AD2" s="1041"/>
      <c r="AE2" s="1041"/>
      <c r="AF2" s="1041"/>
      <c r="AG2" s="1041"/>
      <c r="AH2" s="1042"/>
      <c r="AJ2" s="1037" t="s">
        <v>96</v>
      </c>
      <c r="AK2" s="1038"/>
      <c r="AL2" s="1038"/>
      <c r="AM2" s="1038"/>
      <c r="AN2" s="1038"/>
      <c r="AO2" s="1038"/>
      <c r="AP2" s="1039"/>
      <c r="AR2" s="1037" t="s">
        <v>97</v>
      </c>
      <c r="AS2" s="1038"/>
      <c r="AT2" s="1038"/>
      <c r="AU2" s="1038"/>
      <c r="AV2" s="1038"/>
      <c r="AW2" s="1038"/>
      <c r="AX2" s="1039"/>
      <c r="AZ2" s="1037" t="s">
        <v>10</v>
      </c>
      <c r="BA2" s="1038"/>
      <c r="BB2" s="1038"/>
      <c r="BC2" s="1038"/>
      <c r="BD2" s="1038"/>
      <c r="BE2" s="1038"/>
      <c r="BF2" s="1039"/>
      <c r="BH2" s="1037" t="s">
        <v>42</v>
      </c>
      <c r="BI2" s="1038"/>
      <c r="BJ2" s="1038"/>
      <c r="BK2" s="1038"/>
      <c r="BL2" s="1038"/>
      <c r="BM2" s="1038"/>
      <c r="BN2" s="1039"/>
      <c r="BP2" s="1033" t="s">
        <v>412</v>
      </c>
      <c r="BQ2" s="1034"/>
      <c r="BR2" s="1034"/>
      <c r="BS2" s="1034"/>
      <c r="BT2" s="1034"/>
      <c r="BU2" s="1034"/>
      <c r="BV2" s="1035"/>
    </row>
    <row r="3" spans="1:81" ht="9" customHeight="1">
      <c r="D3" s="144"/>
      <c r="E3" s="144"/>
      <c r="G3" s="145"/>
      <c r="H3" s="144"/>
      <c r="I3" s="144"/>
      <c r="J3" s="140"/>
      <c r="K3" s="140"/>
      <c r="L3" s="144"/>
      <c r="M3" s="140"/>
      <c r="N3" s="146"/>
      <c r="O3" s="144"/>
      <c r="P3" s="144"/>
      <c r="Q3" s="909"/>
      <c r="R3" s="144"/>
      <c r="T3" s="147"/>
      <c r="U3" s="148"/>
      <c r="V3" s="149"/>
      <c r="W3" s="146"/>
      <c r="X3" s="144"/>
      <c r="Y3" s="140"/>
      <c r="Z3" s="144"/>
      <c r="AC3" s="148"/>
      <c r="AD3" s="149"/>
      <c r="AE3" s="146"/>
      <c r="AF3" s="144"/>
      <c r="AG3" s="140"/>
      <c r="AH3" s="144"/>
      <c r="AK3" s="148"/>
      <c r="AL3" s="149"/>
      <c r="AM3" s="146"/>
      <c r="AN3" s="144"/>
      <c r="AO3" s="140"/>
      <c r="AP3" s="144"/>
      <c r="AS3" s="148"/>
      <c r="AT3" s="149"/>
      <c r="AU3" s="146"/>
      <c r="AV3" s="144"/>
      <c r="AW3" s="140"/>
      <c r="AX3" s="144"/>
      <c r="BA3" s="148"/>
      <c r="BB3" s="149"/>
      <c r="BC3" s="146"/>
      <c r="BD3" s="144"/>
      <c r="BE3" s="140"/>
      <c r="BF3" s="144"/>
      <c r="BI3" s="148"/>
      <c r="BJ3" s="149"/>
      <c r="BK3" s="146"/>
      <c r="BL3" s="144"/>
      <c r="BM3" s="140"/>
      <c r="BN3" s="144"/>
      <c r="BQ3" s="148"/>
      <c r="BR3" s="149"/>
      <c r="BS3" s="146"/>
      <c r="BT3" s="144"/>
      <c r="BU3" s="140"/>
      <c r="BV3" s="144"/>
    </row>
    <row r="4" spans="1:81" ht="18" customHeight="1" thickBot="1">
      <c r="D4" s="144"/>
      <c r="E4" s="144"/>
      <c r="G4" s="145"/>
      <c r="H4" s="144"/>
      <c r="I4" s="144"/>
      <c r="J4" s="140"/>
      <c r="K4" s="140"/>
      <c r="L4" s="144"/>
      <c r="M4" s="140"/>
      <c r="N4" s="146"/>
      <c r="O4" s="144"/>
      <c r="P4" s="159" t="s">
        <v>45</v>
      </c>
      <c r="Q4" s="909"/>
      <c r="R4" s="890">
        <f>TRUNC((SUM(R8:R52)),2)</f>
        <v>3.54</v>
      </c>
      <c r="T4" s="147"/>
      <c r="U4" s="148"/>
      <c r="V4" s="149"/>
      <c r="W4" s="146"/>
      <c r="X4" s="159" t="s">
        <v>45</v>
      </c>
      <c r="Y4" s="140"/>
      <c r="Z4" s="890">
        <f>TRUNC((SUM(Z8:Z52)),2)</f>
        <v>667.2</v>
      </c>
      <c r="AC4" s="148"/>
      <c r="AD4" s="149"/>
      <c r="AE4" s="146"/>
      <c r="AF4" s="165" t="s">
        <v>45</v>
      </c>
      <c r="AG4" s="140"/>
      <c r="AH4" s="891">
        <f>TRUNC((SUM(AH8:AH52)),2)</f>
        <v>0</v>
      </c>
      <c r="AK4" s="148"/>
      <c r="AL4" s="149"/>
      <c r="AM4" s="146"/>
      <c r="AN4" s="159" t="s">
        <v>45</v>
      </c>
      <c r="AO4" s="140"/>
      <c r="AP4" s="890">
        <f>TRUNC((SUM(AP8:AP52)),2)</f>
        <v>0</v>
      </c>
      <c r="AS4" s="148"/>
      <c r="AT4" s="149"/>
      <c r="AU4" s="146"/>
      <c r="AV4" s="167" t="s">
        <v>45</v>
      </c>
      <c r="AX4" s="890">
        <f>TRUNC((SUM(AX8:AX52)),2)</f>
        <v>0</v>
      </c>
      <c r="BA4" s="148"/>
      <c r="BB4" s="149"/>
      <c r="BC4" s="146"/>
      <c r="BD4" s="159" t="s">
        <v>45</v>
      </c>
      <c r="BE4" s="140"/>
      <c r="BF4" s="890">
        <f>TRUNC((SUM(BF8:BF52)),2)</f>
        <v>22.41</v>
      </c>
      <c r="BI4" s="148"/>
      <c r="BJ4" s="149"/>
      <c r="BK4" s="146"/>
      <c r="BL4" s="159" t="s">
        <v>45</v>
      </c>
      <c r="BM4" s="140"/>
      <c r="BN4" s="890">
        <f>TRUNC((SUM(BN8:BN52)),2)</f>
        <v>0</v>
      </c>
      <c r="BQ4" s="148"/>
      <c r="BR4" s="149"/>
      <c r="BS4" s="146"/>
      <c r="BT4" s="159" t="s">
        <v>45</v>
      </c>
      <c r="BU4" s="140"/>
      <c r="BV4" s="890">
        <f>TRUNC((SUM(BV8:BV52)),2)</f>
        <v>0</v>
      </c>
    </row>
    <row r="5" spans="1:81" s="150" customFormat="1" ht="9" customHeight="1">
      <c r="B5" s="151">
        <v>1</v>
      </c>
      <c r="D5" s="151">
        <v>2</v>
      </c>
      <c r="F5" s="151">
        <v>3</v>
      </c>
      <c r="H5" s="151">
        <v>4</v>
      </c>
      <c r="I5" s="151">
        <v>5</v>
      </c>
      <c r="J5" s="151">
        <v>6</v>
      </c>
      <c r="L5" s="151">
        <v>7</v>
      </c>
      <c r="N5" s="151">
        <v>8</v>
      </c>
      <c r="P5" s="151">
        <v>9</v>
      </c>
      <c r="Q5" s="910"/>
      <c r="R5" s="151">
        <v>10</v>
      </c>
      <c r="T5" s="151">
        <v>11</v>
      </c>
      <c r="U5" s="151">
        <v>12</v>
      </c>
      <c r="V5" s="151">
        <v>13</v>
      </c>
      <c r="X5" s="151">
        <v>14</v>
      </c>
      <c r="Z5" s="151">
        <v>15</v>
      </c>
      <c r="AB5" s="151">
        <v>16</v>
      </c>
      <c r="AC5" s="151">
        <v>17</v>
      </c>
      <c r="AD5" s="151">
        <v>18</v>
      </c>
      <c r="AF5" s="151">
        <v>19</v>
      </c>
      <c r="AH5" s="151">
        <v>20</v>
      </c>
      <c r="AJ5" s="151">
        <v>21</v>
      </c>
      <c r="AK5" s="151">
        <v>22</v>
      </c>
      <c r="AL5" s="151">
        <v>23</v>
      </c>
      <c r="AN5" s="151">
        <v>24</v>
      </c>
      <c r="AP5" s="151">
        <v>25</v>
      </c>
      <c r="AR5" s="151">
        <v>26</v>
      </c>
      <c r="AS5" s="151">
        <v>27</v>
      </c>
      <c r="AT5" s="151">
        <v>28</v>
      </c>
      <c r="AV5" s="151">
        <v>29</v>
      </c>
      <c r="AX5" s="151">
        <v>30</v>
      </c>
      <c r="AZ5" s="151">
        <v>31</v>
      </c>
      <c r="BA5" s="151">
        <v>32</v>
      </c>
      <c r="BB5" s="151">
        <v>33</v>
      </c>
      <c r="BD5" s="151">
        <v>34</v>
      </c>
      <c r="BF5" s="151">
        <v>35</v>
      </c>
      <c r="BH5" s="151">
        <v>36</v>
      </c>
      <c r="BI5" s="151">
        <v>37</v>
      </c>
      <c r="BJ5" s="151">
        <v>38</v>
      </c>
      <c r="BL5" s="151">
        <v>39</v>
      </c>
      <c r="BN5" s="151">
        <v>40</v>
      </c>
      <c r="BP5" s="151">
        <v>41</v>
      </c>
      <c r="BQ5" s="151">
        <v>42</v>
      </c>
      <c r="BR5" s="151">
        <v>43</v>
      </c>
      <c r="BT5" s="151">
        <v>44</v>
      </c>
      <c r="BV5" s="151">
        <v>45</v>
      </c>
      <c r="BX5" s="846"/>
      <c r="BY5" s="846"/>
      <c r="BZ5" s="846"/>
      <c r="CA5" s="846"/>
      <c r="CB5" s="846"/>
      <c r="CC5" s="846"/>
    </row>
    <row r="6" spans="1:81" ht="30" customHeight="1">
      <c r="B6" s="884" t="s">
        <v>88</v>
      </c>
      <c r="C6" s="152"/>
      <c r="D6" s="885" t="s">
        <v>472</v>
      </c>
      <c r="E6" s="152"/>
      <c r="F6" s="886" t="s">
        <v>98</v>
      </c>
      <c r="G6" s="145"/>
      <c r="H6" s="884" t="s">
        <v>91</v>
      </c>
      <c r="I6" s="884" t="s">
        <v>118</v>
      </c>
      <c r="J6" s="887" t="s">
        <v>9</v>
      </c>
      <c r="K6" s="153"/>
      <c r="L6" s="884" t="s">
        <v>108</v>
      </c>
      <c r="N6" s="884" t="s">
        <v>90</v>
      </c>
      <c r="O6" s="144"/>
      <c r="P6" s="884" t="s">
        <v>11</v>
      </c>
      <c r="R6" s="884" t="s">
        <v>83</v>
      </c>
      <c r="T6" s="888" t="s">
        <v>66</v>
      </c>
      <c r="U6" s="886" t="s">
        <v>81</v>
      </c>
      <c r="V6" s="887" t="s">
        <v>9</v>
      </c>
      <c r="W6" s="153"/>
      <c r="X6" s="884" t="s">
        <v>11</v>
      </c>
      <c r="Z6" s="884" t="s">
        <v>83</v>
      </c>
      <c r="AB6" s="888" t="s">
        <v>66</v>
      </c>
      <c r="AC6" s="886" t="s">
        <v>81</v>
      </c>
      <c r="AD6" s="887" t="s">
        <v>9</v>
      </c>
      <c r="AE6" s="153"/>
      <c r="AF6" s="884" t="s">
        <v>11</v>
      </c>
      <c r="AH6" s="884" t="s">
        <v>83</v>
      </c>
      <c r="AJ6" s="888" t="s">
        <v>66</v>
      </c>
      <c r="AK6" s="886" t="s">
        <v>81</v>
      </c>
      <c r="AL6" s="887" t="s">
        <v>9</v>
      </c>
      <c r="AM6" s="153"/>
      <c r="AN6" s="884" t="s">
        <v>11</v>
      </c>
      <c r="AP6" s="884" t="s">
        <v>83</v>
      </c>
      <c r="AR6" s="888" t="s">
        <v>66</v>
      </c>
      <c r="AS6" s="886" t="s">
        <v>81</v>
      </c>
      <c r="AT6" s="887" t="s">
        <v>9</v>
      </c>
      <c r="AU6" s="153"/>
      <c r="AV6" s="884" t="s">
        <v>11</v>
      </c>
      <c r="AX6" s="884" t="s">
        <v>83</v>
      </c>
      <c r="AZ6" s="888" t="s">
        <v>66</v>
      </c>
      <c r="BA6" s="886" t="s">
        <v>81</v>
      </c>
      <c r="BB6" s="887" t="s">
        <v>9</v>
      </c>
      <c r="BC6" s="153"/>
      <c r="BD6" s="884" t="s">
        <v>11</v>
      </c>
      <c r="BF6" s="884" t="s">
        <v>83</v>
      </c>
      <c r="BH6" s="888" t="s">
        <v>66</v>
      </c>
      <c r="BI6" s="886" t="s">
        <v>81</v>
      </c>
      <c r="BJ6" s="887" t="s">
        <v>9</v>
      </c>
      <c r="BK6" s="153"/>
      <c r="BL6" s="884" t="s">
        <v>11</v>
      </c>
      <c r="BN6" s="884" t="s">
        <v>83</v>
      </c>
      <c r="BP6" s="888" t="s">
        <v>66</v>
      </c>
      <c r="BQ6" s="886" t="s">
        <v>81</v>
      </c>
      <c r="BR6" s="887" t="s">
        <v>9</v>
      </c>
      <c r="BS6" s="153"/>
      <c r="BT6" s="884" t="s">
        <v>11</v>
      </c>
      <c r="BV6" s="884" t="s">
        <v>83</v>
      </c>
    </row>
    <row r="7" spans="1:81" ht="6.75" customHeight="1">
      <c r="B7" s="144"/>
      <c r="C7" s="152"/>
      <c r="D7" s="152"/>
      <c r="E7" s="152"/>
      <c r="F7" s="148"/>
      <c r="G7" s="145"/>
      <c r="H7" s="144"/>
      <c r="I7" s="144"/>
      <c r="J7" s="153"/>
      <c r="K7" s="153"/>
      <c r="L7" s="144"/>
      <c r="N7" s="144"/>
      <c r="O7" s="144"/>
      <c r="P7" s="144"/>
      <c r="R7" s="144"/>
      <c r="T7" s="147"/>
      <c r="U7" s="148"/>
      <c r="V7" s="149"/>
      <c r="W7" s="153"/>
      <c r="X7" s="144"/>
      <c r="Z7" s="144"/>
      <c r="AB7" s="147"/>
      <c r="AC7" s="148"/>
      <c r="AD7" s="149"/>
      <c r="AE7" s="153"/>
      <c r="AF7" s="144"/>
      <c r="AH7" s="144"/>
      <c r="AJ7" s="147"/>
      <c r="AK7" s="148"/>
      <c r="AL7" s="149"/>
      <c r="AM7" s="153"/>
      <c r="AN7" s="144"/>
      <c r="AP7" s="144"/>
      <c r="AR7" s="147"/>
      <c r="AS7" s="148"/>
      <c r="AT7" s="149"/>
      <c r="AU7" s="153"/>
      <c r="AV7" s="144"/>
      <c r="AX7" s="144"/>
      <c r="AZ7" s="147"/>
      <c r="BA7" s="148"/>
      <c r="BB7" s="149"/>
      <c r="BC7" s="153"/>
      <c r="BD7" s="144"/>
      <c r="BF7" s="144"/>
      <c r="BH7" s="147"/>
      <c r="BI7" s="148"/>
      <c r="BJ7" s="149"/>
      <c r="BK7" s="153"/>
      <c r="BL7" s="144"/>
      <c r="BN7" s="144"/>
      <c r="BP7" s="147"/>
      <c r="BQ7" s="148"/>
      <c r="BR7" s="149"/>
      <c r="BS7" s="153"/>
      <c r="BT7" s="144"/>
      <c r="BV7" s="144"/>
    </row>
    <row r="8" spans="1:81" ht="12" customHeight="1">
      <c r="A8" s="134">
        <v>1</v>
      </c>
      <c r="B8" s="892" t="str">
        <f>Efetivo!B11</f>
        <v>Biologo Ornitologo (Coord.)</v>
      </c>
      <c r="C8" s="554"/>
      <c r="D8" s="893">
        <f>Efetivo!S11</f>
        <v>2761</v>
      </c>
      <c r="E8" s="554"/>
      <c r="F8" s="560">
        <f>Efetivo!D11+Efetivo!AV11</f>
        <v>1</v>
      </c>
      <c r="G8" s="155"/>
      <c r="H8" s="160">
        <v>2</v>
      </c>
      <c r="I8" s="161">
        <v>2.75</v>
      </c>
      <c r="J8" s="162">
        <v>0.06</v>
      </c>
      <c r="K8" s="156"/>
      <c r="L8" s="560">
        <f>IF(Efetivo!BV11&gt;0,Efetivo!BV11,Efetivo!F11)</f>
        <v>25</v>
      </c>
      <c r="M8" s="557"/>
      <c r="N8" s="893">
        <f>SUM(I8*H8)*L8</f>
        <v>137.5</v>
      </c>
      <c r="O8" s="558"/>
      <c r="P8" s="893">
        <f>IF(N8+Q8&lt;0,-N8,Q8)</f>
        <v>-137.5</v>
      </c>
      <c r="Q8" s="912">
        <f>-(IF(D8*J8&gt;N8,N8,(D8*J8)))</f>
        <v>-137.5</v>
      </c>
      <c r="R8" s="893">
        <f>IF((N8+P8)*F8&gt;0,(N8+P8)*F8,0)</f>
        <v>0</v>
      </c>
      <c r="S8" s="557"/>
      <c r="T8" s="894">
        <f t="shared" ref="T8:T51" si="0">L8</f>
        <v>25</v>
      </c>
      <c r="U8" s="161">
        <v>16.68</v>
      </c>
      <c r="V8" s="445">
        <v>0.2</v>
      </c>
      <c r="W8" s="156"/>
      <c r="X8" s="893">
        <f t="shared" ref="X8:X52" si="1">-(U8*V8)</f>
        <v>-3.3360000000000003</v>
      </c>
      <c r="Y8" s="557"/>
      <c r="Z8" s="893">
        <f t="shared" ref="Z8:Z52" si="2">((U8+X8)*T8)*$F8</f>
        <v>333.59999999999997</v>
      </c>
      <c r="AB8" s="894">
        <f>Efetivo!D11+Efetivo!AV11</f>
        <v>1</v>
      </c>
      <c r="AC8" s="161"/>
      <c r="AD8" s="895"/>
      <c r="AE8" s="156"/>
      <c r="AF8" s="893">
        <f t="shared" ref="AF8:AF39" si="3">-(AC8*AD8)</f>
        <v>0</v>
      </c>
      <c r="AG8" s="557"/>
      <c r="AH8" s="893">
        <f t="shared" ref="AH8:AH52" si="4">((AC8+AF8)*AB8)</f>
        <v>0</v>
      </c>
      <c r="AJ8" s="894">
        <f t="shared" ref="AJ8:AJ52" si="5">AB8</f>
        <v>1</v>
      </c>
      <c r="AK8" s="161"/>
      <c r="AL8" s="895"/>
      <c r="AM8" s="156"/>
      <c r="AN8" s="893">
        <f t="shared" ref="AN8:AN52" si="6">-(AK8*AL8)</f>
        <v>0</v>
      </c>
      <c r="AO8" s="557"/>
      <c r="AP8" s="893">
        <f t="shared" ref="AP8:AP52" si="7">((AK8+AN8)*AJ8)</f>
        <v>0</v>
      </c>
      <c r="AR8" s="894">
        <f t="shared" ref="AR8:AR51" si="8">AB8</f>
        <v>1</v>
      </c>
      <c r="AS8" s="161"/>
      <c r="AT8" s="895"/>
      <c r="AU8" s="156"/>
      <c r="AV8" s="893">
        <f t="shared" ref="AV8:AV52" si="9">-(AS8*AT8)</f>
        <v>0</v>
      </c>
      <c r="AW8" s="557"/>
      <c r="AX8" s="893">
        <f t="shared" ref="AX8:AX52" si="10">((AS8+AV8)*AR8)</f>
        <v>0</v>
      </c>
      <c r="AZ8" s="894">
        <f t="shared" ref="AZ8:AZ51" si="11">AB8</f>
        <v>1</v>
      </c>
      <c r="BA8" s="161">
        <v>7.47</v>
      </c>
      <c r="BB8" s="895"/>
      <c r="BC8" s="558"/>
      <c r="BD8" s="893">
        <f t="shared" ref="BD8:BD52" si="12">-(BA8*BB8)</f>
        <v>0</v>
      </c>
      <c r="BF8" s="893">
        <f t="shared" ref="BF8:BF52" si="13">((BA8+BD8)*AZ8)</f>
        <v>7.47</v>
      </c>
      <c r="BH8" s="894">
        <f t="shared" ref="BH8:BH51" si="14">AB8</f>
        <v>1</v>
      </c>
      <c r="BI8" s="161"/>
      <c r="BJ8" s="895"/>
      <c r="BK8" s="156"/>
      <c r="BL8" s="893">
        <f t="shared" ref="BL8:BL52" si="15">-(BI8*BJ8)</f>
        <v>0</v>
      </c>
      <c r="BM8" s="557"/>
      <c r="BN8" s="893">
        <f t="shared" ref="BN8:BN52" si="16">((BI8+BL8)*BH8)</f>
        <v>0</v>
      </c>
      <c r="BP8" s="894">
        <f t="shared" ref="BP8:BP51" si="17">AB8</f>
        <v>1</v>
      </c>
      <c r="BQ8" s="161"/>
      <c r="BR8" s="895"/>
      <c r="BS8" s="156"/>
      <c r="BT8" s="893">
        <f t="shared" ref="BT8:BT52" si="18">-(BQ8*BR8)</f>
        <v>0</v>
      </c>
      <c r="BU8" s="557"/>
      <c r="BV8" s="893">
        <f t="shared" ref="BV8:BV52" si="19">((BQ8+BT8)*BP8)</f>
        <v>0</v>
      </c>
      <c r="BX8" s="845">
        <f t="shared" ref="BX8:BX51" si="20">IF(AB8&gt;0,1,0)</f>
        <v>1</v>
      </c>
      <c r="BY8" s="845">
        <f t="shared" ref="BY8:BY51" si="21">IF(AK8&gt;0,1,0)</f>
        <v>0</v>
      </c>
      <c r="BZ8" s="845">
        <f t="shared" ref="BZ8:BZ51" si="22">IF(AS8&gt;0,1,0)</f>
        <v>0</v>
      </c>
      <c r="CA8" s="845">
        <f t="shared" ref="CA8:CA51" si="23">IF(BA8&gt;0,1,0)</f>
        <v>1</v>
      </c>
      <c r="CB8" s="845">
        <f t="shared" ref="CB8:CB51" si="24">IF(BI8&gt;0,1,0)</f>
        <v>0</v>
      </c>
      <c r="CC8" s="845">
        <f t="shared" ref="CC8:CC51" si="25">IF(BQ8&gt;0,1,0)</f>
        <v>0</v>
      </c>
    </row>
    <row r="9" spans="1:81" ht="12" customHeight="1">
      <c r="A9" s="134">
        <v>2</v>
      </c>
      <c r="B9" s="892" t="str">
        <f>Efetivo!B12</f>
        <v>Veterinário</v>
      </c>
      <c r="C9" s="554"/>
      <c r="D9" s="893">
        <f>Efetivo!S12</f>
        <v>1866</v>
      </c>
      <c r="E9" s="554"/>
      <c r="F9" s="560">
        <f>Efetivo!D12+Efetivo!AV12</f>
        <v>1</v>
      </c>
      <c r="G9" s="155"/>
      <c r="H9" s="160">
        <v>2</v>
      </c>
      <c r="I9" s="161">
        <v>2.75</v>
      </c>
      <c r="J9" s="162">
        <v>0.06</v>
      </c>
      <c r="K9" s="156"/>
      <c r="L9" s="560">
        <f>IF(Efetivo!BV12&gt;0,Efetivo!BV12,Efetivo!F12)</f>
        <v>21</v>
      </c>
      <c r="M9" s="557"/>
      <c r="N9" s="893">
        <f t="shared" ref="N9:N51" si="26">L9*(I9*H9)</f>
        <v>115.5</v>
      </c>
      <c r="O9" s="558"/>
      <c r="P9" s="893">
        <f t="shared" ref="P9:P50" si="27">IF(N9+Q9&lt;0,-N9,Q9)</f>
        <v>-111.96</v>
      </c>
      <c r="Q9" s="912">
        <f t="shared" ref="Q9:Q51" si="28">-(IF(D9*J9&gt;N9,N9,(D9*J9)))</f>
        <v>-111.96</v>
      </c>
      <c r="R9" s="893">
        <f t="shared" ref="R9:R52" si="29">IF((N9+P9)*F9&gt;0,(N9+P9)*F9,0)</f>
        <v>3.5400000000000063</v>
      </c>
      <c r="S9" s="557"/>
      <c r="T9" s="894">
        <f t="shared" si="0"/>
        <v>21</v>
      </c>
      <c r="U9" s="161"/>
      <c r="V9" s="163"/>
      <c r="W9" s="156"/>
      <c r="X9" s="893">
        <f t="shared" si="1"/>
        <v>0</v>
      </c>
      <c r="Y9" s="557"/>
      <c r="Z9" s="893">
        <f t="shared" si="2"/>
        <v>0</v>
      </c>
      <c r="AB9" s="894">
        <f>Efetivo!D12+Efetivo!AV12</f>
        <v>1</v>
      </c>
      <c r="AC9" s="161"/>
      <c r="AD9" s="895"/>
      <c r="AE9" s="156"/>
      <c r="AF9" s="893">
        <f t="shared" si="3"/>
        <v>0</v>
      </c>
      <c r="AG9" s="557"/>
      <c r="AH9" s="893">
        <f t="shared" si="4"/>
        <v>0</v>
      </c>
      <c r="AJ9" s="894">
        <f t="shared" si="5"/>
        <v>1</v>
      </c>
      <c r="AK9" s="161"/>
      <c r="AL9" s="895"/>
      <c r="AM9" s="156"/>
      <c r="AN9" s="893">
        <f t="shared" si="6"/>
        <v>0</v>
      </c>
      <c r="AO9" s="557"/>
      <c r="AP9" s="893">
        <f t="shared" si="7"/>
        <v>0</v>
      </c>
      <c r="AR9" s="894">
        <f t="shared" si="8"/>
        <v>1</v>
      </c>
      <c r="AS9" s="161"/>
      <c r="AT9" s="895"/>
      <c r="AU9" s="156"/>
      <c r="AV9" s="893">
        <f t="shared" si="9"/>
        <v>0</v>
      </c>
      <c r="AW9" s="557"/>
      <c r="AX9" s="893">
        <f t="shared" si="10"/>
        <v>0</v>
      </c>
      <c r="AZ9" s="894">
        <f t="shared" si="11"/>
        <v>1</v>
      </c>
      <c r="BA9" s="161">
        <v>7.47</v>
      </c>
      <c r="BB9" s="895"/>
      <c r="BC9" s="558"/>
      <c r="BD9" s="893">
        <f t="shared" si="12"/>
        <v>0</v>
      </c>
      <c r="BF9" s="893">
        <f t="shared" si="13"/>
        <v>7.47</v>
      </c>
      <c r="BH9" s="894">
        <f t="shared" si="14"/>
        <v>1</v>
      </c>
      <c r="BI9" s="161"/>
      <c r="BJ9" s="895"/>
      <c r="BK9" s="156"/>
      <c r="BL9" s="893">
        <f t="shared" si="15"/>
        <v>0</v>
      </c>
      <c r="BM9" s="557"/>
      <c r="BN9" s="893">
        <f t="shared" si="16"/>
        <v>0</v>
      </c>
      <c r="BP9" s="894">
        <f t="shared" si="17"/>
        <v>1</v>
      </c>
      <c r="BQ9" s="161"/>
      <c r="BR9" s="895"/>
      <c r="BS9" s="156"/>
      <c r="BT9" s="893">
        <f t="shared" si="18"/>
        <v>0</v>
      </c>
      <c r="BU9" s="557"/>
      <c r="BV9" s="893">
        <f t="shared" si="19"/>
        <v>0</v>
      </c>
      <c r="BX9" s="845">
        <f t="shared" si="20"/>
        <v>1</v>
      </c>
      <c r="BY9" s="845">
        <f t="shared" si="21"/>
        <v>0</v>
      </c>
      <c r="BZ9" s="845">
        <f t="shared" si="22"/>
        <v>0</v>
      </c>
      <c r="CA9" s="845">
        <f t="shared" si="23"/>
        <v>1</v>
      </c>
      <c r="CB9" s="845">
        <f t="shared" si="24"/>
        <v>0</v>
      </c>
      <c r="CC9" s="845">
        <f t="shared" si="25"/>
        <v>0</v>
      </c>
    </row>
    <row r="10" spans="1:81" ht="12" customHeight="1">
      <c r="A10" s="134">
        <v>3</v>
      </c>
      <c r="B10" s="892" t="str">
        <f>Efetivo!B13</f>
        <v>Falcoeiro</v>
      </c>
      <c r="C10" s="554"/>
      <c r="D10" s="893">
        <f>Efetivo!S13</f>
        <v>2500</v>
      </c>
      <c r="E10" s="554"/>
      <c r="F10" s="560">
        <f>Efetivo!D13+Efetivo!AV13</f>
        <v>1</v>
      </c>
      <c r="G10" s="155"/>
      <c r="H10" s="160">
        <v>2</v>
      </c>
      <c r="I10" s="161">
        <v>2.75</v>
      </c>
      <c r="J10" s="162">
        <v>0.06</v>
      </c>
      <c r="K10" s="156"/>
      <c r="L10" s="560">
        <f>IF(Efetivo!BV13&gt;0,Efetivo!BV13,Efetivo!F13)</f>
        <v>25</v>
      </c>
      <c r="M10" s="557"/>
      <c r="N10" s="893">
        <f t="shared" si="26"/>
        <v>137.5</v>
      </c>
      <c r="O10" s="558"/>
      <c r="P10" s="893">
        <f t="shared" si="27"/>
        <v>-137.5</v>
      </c>
      <c r="Q10" s="912">
        <f t="shared" si="28"/>
        <v>-137.5</v>
      </c>
      <c r="R10" s="893">
        <f t="shared" si="29"/>
        <v>0</v>
      </c>
      <c r="S10" s="557"/>
      <c r="T10" s="894">
        <f t="shared" si="0"/>
        <v>25</v>
      </c>
      <c r="U10" s="161">
        <v>16.68</v>
      </c>
      <c r="V10" s="163">
        <v>0.2</v>
      </c>
      <c r="W10" s="156"/>
      <c r="X10" s="893">
        <f t="shared" si="1"/>
        <v>-3.3360000000000003</v>
      </c>
      <c r="Y10" s="557"/>
      <c r="Z10" s="893">
        <f t="shared" si="2"/>
        <v>333.59999999999997</v>
      </c>
      <c r="AB10" s="894">
        <f>Efetivo!D13+Efetivo!AV13</f>
        <v>1</v>
      </c>
      <c r="AC10" s="161"/>
      <c r="AD10" s="895"/>
      <c r="AE10" s="156"/>
      <c r="AF10" s="893">
        <f t="shared" si="3"/>
        <v>0</v>
      </c>
      <c r="AG10" s="557"/>
      <c r="AH10" s="893">
        <f t="shared" si="4"/>
        <v>0</v>
      </c>
      <c r="AJ10" s="894">
        <f t="shared" si="5"/>
        <v>1</v>
      </c>
      <c r="AK10" s="161"/>
      <c r="AL10" s="895"/>
      <c r="AM10" s="156"/>
      <c r="AN10" s="893">
        <f t="shared" si="6"/>
        <v>0</v>
      </c>
      <c r="AO10" s="557"/>
      <c r="AP10" s="893">
        <f t="shared" si="7"/>
        <v>0</v>
      </c>
      <c r="AR10" s="894">
        <f t="shared" si="8"/>
        <v>1</v>
      </c>
      <c r="AS10" s="161"/>
      <c r="AT10" s="895"/>
      <c r="AU10" s="156"/>
      <c r="AV10" s="893">
        <f t="shared" si="9"/>
        <v>0</v>
      </c>
      <c r="AW10" s="557"/>
      <c r="AX10" s="893">
        <f t="shared" si="10"/>
        <v>0</v>
      </c>
      <c r="AZ10" s="894">
        <f t="shared" si="11"/>
        <v>1</v>
      </c>
      <c r="BA10" s="161">
        <v>7.47</v>
      </c>
      <c r="BB10" s="895"/>
      <c r="BC10" s="558"/>
      <c r="BD10" s="893">
        <f t="shared" si="12"/>
        <v>0</v>
      </c>
      <c r="BF10" s="893">
        <f t="shared" si="13"/>
        <v>7.47</v>
      </c>
      <c r="BH10" s="894">
        <f t="shared" si="14"/>
        <v>1</v>
      </c>
      <c r="BI10" s="161"/>
      <c r="BJ10" s="895"/>
      <c r="BK10" s="156"/>
      <c r="BL10" s="893">
        <f t="shared" si="15"/>
        <v>0</v>
      </c>
      <c r="BM10" s="557"/>
      <c r="BN10" s="893">
        <f t="shared" si="16"/>
        <v>0</v>
      </c>
      <c r="BP10" s="894">
        <f t="shared" si="17"/>
        <v>1</v>
      </c>
      <c r="BQ10" s="161"/>
      <c r="BR10" s="895"/>
      <c r="BS10" s="156"/>
      <c r="BT10" s="893">
        <f t="shared" si="18"/>
        <v>0</v>
      </c>
      <c r="BU10" s="557"/>
      <c r="BV10" s="893">
        <f t="shared" si="19"/>
        <v>0</v>
      </c>
      <c r="BX10" s="845">
        <f t="shared" si="20"/>
        <v>1</v>
      </c>
      <c r="BY10" s="845">
        <f t="shared" si="21"/>
        <v>0</v>
      </c>
      <c r="BZ10" s="845">
        <f t="shared" si="22"/>
        <v>0</v>
      </c>
      <c r="CA10" s="845">
        <f t="shared" si="23"/>
        <v>1</v>
      </c>
      <c r="CB10" s="845">
        <f t="shared" si="24"/>
        <v>0</v>
      </c>
      <c r="CC10" s="845">
        <f t="shared" si="25"/>
        <v>0</v>
      </c>
    </row>
    <row r="11" spans="1:81" ht="12" customHeight="1">
      <c r="A11" s="134">
        <v>4</v>
      </c>
      <c r="B11" s="892">
        <f>Efetivo!B14</f>
        <v>0</v>
      </c>
      <c r="C11" s="554"/>
      <c r="D11" s="893">
        <f>Efetivo!S14</f>
        <v>0</v>
      </c>
      <c r="E11" s="554"/>
      <c r="F11" s="560">
        <f>Efetivo!D14+Efetivo!AV14</f>
        <v>0</v>
      </c>
      <c r="G11" s="155"/>
      <c r="H11" s="160"/>
      <c r="I11" s="161"/>
      <c r="J11" s="162"/>
      <c r="K11" s="156"/>
      <c r="L11" s="560">
        <f>IF(Efetivo!BV14&gt;0,Efetivo!BV14,Efetivo!F14)</f>
        <v>0</v>
      </c>
      <c r="M11" s="557"/>
      <c r="N11" s="893">
        <f t="shared" si="26"/>
        <v>0</v>
      </c>
      <c r="O11" s="558"/>
      <c r="P11" s="893">
        <f t="shared" si="27"/>
        <v>0</v>
      </c>
      <c r="Q11" s="912">
        <f t="shared" si="28"/>
        <v>0</v>
      </c>
      <c r="R11" s="893">
        <f t="shared" si="29"/>
        <v>0</v>
      </c>
      <c r="S11" s="557"/>
      <c r="T11" s="894">
        <f t="shared" si="0"/>
        <v>0</v>
      </c>
      <c r="U11" s="161"/>
      <c r="V11" s="163"/>
      <c r="W11" s="156"/>
      <c r="X11" s="893">
        <f t="shared" si="1"/>
        <v>0</v>
      </c>
      <c r="Y11" s="557"/>
      <c r="Z11" s="893">
        <f t="shared" si="2"/>
        <v>0</v>
      </c>
      <c r="AB11" s="894">
        <f>Efetivo!D14+Efetivo!AV14</f>
        <v>0</v>
      </c>
      <c r="AC11" s="161"/>
      <c r="AD11" s="895"/>
      <c r="AE11" s="156"/>
      <c r="AF11" s="893">
        <f t="shared" si="3"/>
        <v>0</v>
      </c>
      <c r="AG11" s="557"/>
      <c r="AH11" s="893">
        <f t="shared" si="4"/>
        <v>0</v>
      </c>
      <c r="AJ11" s="894">
        <f t="shared" si="5"/>
        <v>0</v>
      </c>
      <c r="AK11" s="161"/>
      <c r="AL11" s="895"/>
      <c r="AM11" s="156"/>
      <c r="AN11" s="893">
        <f t="shared" si="6"/>
        <v>0</v>
      </c>
      <c r="AO11" s="557"/>
      <c r="AP11" s="893">
        <f t="shared" si="7"/>
        <v>0</v>
      </c>
      <c r="AR11" s="894">
        <f t="shared" si="8"/>
        <v>0</v>
      </c>
      <c r="AS11" s="161"/>
      <c r="AT11" s="895"/>
      <c r="AU11" s="156"/>
      <c r="AV11" s="893">
        <f t="shared" si="9"/>
        <v>0</v>
      </c>
      <c r="AW11" s="557"/>
      <c r="AX11" s="893">
        <f t="shared" si="10"/>
        <v>0</v>
      </c>
      <c r="AZ11" s="894">
        <f t="shared" si="11"/>
        <v>0</v>
      </c>
      <c r="BA11" s="161"/>
      <c r="BB11" s="895"/>
      <c r="BC11" s="558"/>
      <c r="BD11" s="893">
        <f t="shared" si="12"/>
        <v>0</v>
      </c>
      <c r="BF11" s="893">
        <f t="shared" si="13"/>
        <v>0</v>
      </c>
      <c r="BH11" s="894">
        <f t="shared" si="14"/>
        <v>0</v>
      </c>
      <c r="BI11" s="161"/>
      <c r="BJ11" s="895"/>
      <c r="BK11" s="156"/>
      <c r="BL11" s="893">
        <f t="shared" si="15"/>
        <v>0</v>
      </c>
      <c r="BM11" s="557"/>
      <c r="BN11" s="893">
        <f t="shared" si="16"/>
        <v>0</v>
      </c>
      <c r="BP11" s="894">
        <f t="shared" si="17"/>
        <v>0</v>
      </c>
      <c r="BQ11" s="161"/>
      <c r="BR11" s="895"/>
      <c r="BS11" s="156"/>
      <c r="BT11" s="893">
        <f t="shared" si="18"/>
        <v>0</v>
      </c>
      <c r="BU11" s="557"/>
      <c r="BV11" s="893">
        <f t="shared" si="19"/>
        <v>0</v>
      </c>
      <c r="BX11" s="845">
        <f t="shared" si="20"/>
        <v>0</v>
      </c>
      <c r="BY11" s="845">
        <f t="shared" si="21"/>
        <v>0</v>
      </c>
      <c r="BZ11" s="845">
        <f t="shared" si="22"/>
        <v>0</v>
      </c>
      <c r="CA11" s="845">
        <f t="shared" si="23"/>
        <v>0</v>
      </c>
      <c r="CB11" s="845">
        <f t="shared" si="24"/>
        <v>0</v>
      </c>
      <c r="CC11" s="845">
        <f t="shared" si="25"/>
        <v>0</v>
      </c>
    </row>
    <row r="12" spans="1:81" ht="12" hidden="1" customHeight="1">
      <c r="A12" s="134">
        <v>5</v>
      </c>
      <c r="B12" s="892">
        <f>Efetivo!B15</f>
        <v>0</v>
      </c>
      <c r="C12" s="554"/>
      <c r="D12" s="893">
        <f>Efetivo!S15</f>
        <v>0</v>
      </c>
      <c r="E12" s="554"/>
      <c r="F12" s="560">
        <f>Efetivo!D15+Efetivo!AV15</f>
        <v>0</v>
      </c>
      <c r="G12" s="155"/>
      <c r="H12" s="160"/>
      <c r="I12" s="161"/>
      <c r="J12" s="162"/>
      <c r="K12" s="156"/>
      <c r="L12" s="560">
        <f>IF(Efetivo!BV15&gt;0,Efetivo!BV15,Efetivo!F15)</f>
        <v>0</v>
      </c>
      <c r="M12" s="557"/>
      <c r="N12" s="893">
        <f t="shared" si="26"/>
        <v>0</v>
      </c>
      <c r="O12" s="558"/>
      <c r="P12" s="893">
        <f t="shared" si="27"/>
        <v>0</v>
      </c>
      <c r="Q12" s="912">
        <f t="shared" si="28"/>
        <v>0</v>
      </c>
      <c r="R12" s="893">
        <f t="shared" si="29"/>
        <v>0</v>
      </c>
      <c r="S12" s="557"/>
      <c r="T12" s="894">
        <f t="shared" si="0"/>
        <v>0</v>
      </c>
      <c r="U12" s="161"/>
      <c r="V12" s="163"/>
      <c r="W12" s="156"/>
      <c r="X12" s="893">
        <f t="shared" si="1"/>
        <v>0</v>
      </c>
      <c r="Y12" s="557"/>
      <c r="Z12" s="893">
        <f t="shared" si="2"/>
        <v>0</v>
      </c>
      <c r="AB12" s="894">
        <f>Efetivo!D15+Efetivo!AV15</f>
        <v>0</v>
      </c>
      <c r="AC12" s="161"/>
      <c r="AD12" s="895"/>
      <c r="AE12" s="156"/>
      <c r="AF12" s="893">
        <f t="shared" si="3"/>
        <v>0</v>
      </c>
      <c r="AG12" s="557"/>
      <c r="AH12" s="893">
        <f t="shared" si="4"/>
        <v>0</v>
      </c>
      <c r="AJ12" s="894">
        <f t="shared" si="5"/>
        <v>0</v>
      </c>
      <c r="AK12" s="161"/>
      <c r="AL12" s="895"/>
      <c r="AM12" s="156"/>
      <c r="AN12" s="893">
        <f t="shared" si="6"/>
        <v>0</v>
      </c>
      <c r="AO12" s="557"/>
      <c r="AP12" s="893">
        <f t="shared" si="7"/>
        <v>0</v>
      </c>
      <c r="AR12" s="894">
        <f t="shared" si="8"/>
        <v>0</v>
      </c>
      <c r="AS12" s="161"/>
      <c r="AT12" s="895"/>
      <c r="AU12" s="156"/>
      <c r="AV12" s="893">
        <f t="shared" si="9"/>
        <v>0</v>
      </c>
      <c r="AW12" s="557"/>
      <c r="AX12" s="893">
        <f t="shared" si="10"/>
        <v>0</v>
      </c>
      <c r="AZ12" s="894">
        <f t="shared" si="11"/>
        <v>0</v>
      </c>
      <c r="BA12" s="161"/>
      <c r="BB12" s="895"/>
      <c r="BC12" s="558"/>
      <c r="BD12" s="893">
        <f t="shared" si="12"/>
        <v>0</v>
      </c>
      <c r="BF12" s="893">
        <f t="shared" si="13"/>
        <v>0</v>
      </c>
      <c r="BH12" s="894">
        <f t="shared" si="14"/>
        <v>0</v>
      </c>
      <c r="BI12" s="161"/>
      <c r="BJ12" s="895"/>
      <c r="BK12" s="156"/>
      <c r="BL12" s="893">
        <f t="shared" si="15"/>
        <v>0</v>
      </c>
      <c r="BM12" s="557"/>
      <c r="BN12" s="893">
        <f t="shared" si="16"/>
        <v>0</v>
      </c>
      <c r="BP12" s="894">
        <f t="shared" si="17"/>
        <v>0</v>
      </c>
      <c r="BQ12" s="161"/>
      <c r="BR12" s="895"/>
      <c r="BS12" s="156"/>
      <c r="BT12" s="893">
        <f t="shared" si="18"/>
        <v>0</v>
      </c>
      <c r="BU12" s="557"/>
      <c r="BV12" s="893">
        <f t="shared" si="19"/>
        <v>0</v>
      </c>
      <c r="BX12" s="845">
        <f t="shared" si="20"/>
        <v>0</v>
      </c>
      <c r="BY12" s="845">
        <f t="shared" si="21"/>
        <v>0</v>
      </c>
      <c r="BZ12" s="845">
        <f t="shared" si="22"/>
        <v>0</v>
      </c>
      <c r="CA12" s="845">
        <f t="shared" si="23"/>
        <v>0</v>
      </c>
      <c r="CB12" s="845">
        <f t="shared" si="24"/>
        <v>0</v>
      </c>
      <c r="CC12" s="845">
        <f t="shared" si="25"/>
        <v>0</v>
      </c>
    </row>
    <row r="13" spans="1:81" ht="12" hidden="1" customHeight="1">
      <c r="A13" s="134">
        <v>6</v>
      </c>
      <c r="B13" s="892">
        <f>Efetivo!B16</f>
        <v>0</v>
      </c>
      <c r="C13" s="554"/>
      <c r="D13" s="893">
        <f>Efetivo!S16</f>
        <v>0</v>
      </c>
      <c r="E13" s="554"/>
      <c r="F13" s="560">
        <f>Efetivo!D16+Efetivo!AV16</f>
        <v>0</v>
      </c>
      <c r="G13" s="155"/>
      <c r="H13" s="160"/>
      <c r="I13" s="161"/>
      <c r="J13" s="162"/>
      <c r="K13" s="156"/>
      <c r="L13" s="560">
        <f>IF(Efetivo!BV16&gt;0,Efetivo!BV16,Efetivo!F16)</f>
        <v>0</v>
      </c>
      <c r="M13" s="557"/>
      <c r="N13" s="893">
        <f t="shared" si="26"/>
        <v>0</v>
      </c>
      <c r="O13" s="558"/>
      <c r="P13" s="893">
        <f t="shared" si="27"/>
        <v>0</v>
      </c>
      <c r="Q13" s="912">
        <f t="shared" si="28"/>
        <v>0</v>
      </c>
      <c r="R13" s="893">
        <f t="shared" si="29"/>
        <v>0</v>
      </c>
      <c r="S13" s="557"/>
      <c r="T13" s="894">
        <f t="shared" si="0"/>
        <v>0</v>
      </c>
      <c r="U13" s="161"/>
      <c r="V13" s="163"/>
      <c r="W13" s="156"/>
      <c r="X13" s="893">
        <f t="shared" si="1"/>
        <v>0</v>
      </c>
      <c r="Y13" s="557"/>
      <c r="Z13" s="893">
        <f t="shared" si="2"/>
        <v>0</v>
      </c>
      <c r="AB13" s="894">
        <f>Efetivo!D16+Efetivo!AV16</f>
        <v>0</v>
      </c>
      <c r="AC13" s="161"/>
      <c r="AD13" s="895"/>
      <c r="AE13" s="156"/>
      <c r="AF13" s="893">
        <f t="shared" si="3"/>
        <v>0</v>
      </c>
      <c r="AG13" s="557"/>
      <c r="AH13" s="893">
        <f t="shared" si="4"/>
        <v>0</v>
      </c>
      <c r="AJ13" s="894">
        <f t="shared" si="5"/>
        <v>0</v>
      </c>
      <c r="AK13" s="161"/>
      <c r="AL13" s="895"/>
      <c r="AM13" s="156"/>
      <c r="AN13" s="893">
        <f t="shared" si="6"/>
        <v>0</v>
      </c>
      <c r="AO13" s="557"/>
      <c r="AP13" s="893">
        <f t="shared" si="7"/>
        <v>0</v>
      </c>
      <c r="AR13" s="894">
        <f t="shared" si="8"/>
        <v>0</v>
      </c>
      <c r="AS13" s="161"/>
      <c r="AT13" s="895"/>
      <c r="AU13" s="156"/>
      <c r="AV13" s="893">
        <f t="shared" si="9"/>
        <v>0</v>
      </c>
      <c r="AW13" s="557"/>
      <c r="AX13" s="893">
        <f t="shared" si="10"/>
        <v>0</v>
      </c>
      <c r="AZ13" s="894">
        <f t="shared" si="11"/>
        <v>0</v>
      </c>
      <c r="BA13" s="161"/>
      <c r="BB13" s="895"/>
      <c r="BC13" s="558"/>
      <c r="BD13" s="893">
        <f t="shared" si="12"/>
        <v>0</v>
      </c>
      <c r="BF13" s="893">
        <f t="shared" si="13"/>
        <v>0</v>
      </c>
      <c r="BH13" s="894">
        <f t="shared" si="14"/>
        <v>0</v>
      </c>
      <c r="BI13" s="161"/>
      <c r="BJ13" s="895"/>
      <c r="BK13" s="156"/>
      <c r="BL13" s="893">
        <f t="shared" si="15"/>
        <v>0</v>
      </c>
      <c r="BM13" s="557"/>
      <c r="BN13" s="893">
        <f t="shared" si="16"/>
        <v>0</v>
      </c>
      <c r="BP13" s="894">
        <f t="shared" si="17"/>
        <v>0</v>
      </c>
      <c r="BQ13" s="161"/>
      <c r="BR13" s="895"/>
      <c r="BS13" s="156"/>
      <c r="BT13" s="893">
        <f t="shared" si="18"/>
        <v>0</v>
      </c>
      <c r="BU13" s="557"/>
      <c r="BV13" s="893">
        <f t="shared" si="19"/>
        <v>0</v>
      </c>
      <c r="BX13" s="845">
        <f t="shared" si="20"/>
        <v>0</v>
      </c>
      <c r="BY13" s="845">
        <f t="shared" si="21"/>
        <v>0</v>
      </c>
      <c r="BZ13" s="845">
        <f t="shared" si="22"/>
        <v>0</v>
      </c>
      <c r="CA13" s="845">
        <f t="shared" si="23"/>
        <v>0</v>
      </c>
      <c r="CB13" s="845">
        <f t="shared" si="24"/>
        <v>0</v>
      </c>
      <c r="CC13" s="845">
        <f t="shared" si="25"/>
        <v>0</v>
      </c>
    </row>
    <row r="14" spans="1:81" ht="12" hidden="1" customHeight="1">
      <c r="A14" s="134">
        <v>7</v>
      </c>
      <c r="B14" s="892">
        <f>Efetivo!B17</f>
        <v>0</v>
      </c>
      <c r="C14" s="554"/>
      <c r="D14" s="893">
        <f>Efetivo!S17</f>
        <v>0</v>
      </c>
      <c r="E14" s="554"/>
      <c r="F14" s="560">
        <f>Efetivo!D17+Efetivo!AV17</f>
        <v>0</v>
      </c>
      <c r="G14" s="155"/>
      <c r="H14" s="160"/>
      <c r="I14" s="161"/>
      <c r="J14" s="162"/>
      <c r="K14" s="156"/>
      <c r="L14" s="560">
        <f>IF(Efetivo!BV17&gt;0,Efetivo!BV17,Efetivo!F17)</f>
        <v>0</v>
      </c>
      <c r="M14" s="557"/>
      <c r="N14" s="893">
        <f t="shared" si="26"/>
        <v>0</v>
      </c>
      <c r="O14" s="558"/>
      <c r="P14" s="893">
        <f t="shared" si="27"/>
        <v>0</v>
      </c>
      <c r="Q14" s="912">
        <f t="shared" si="28"/>
        <v>0</v>
      </c>
      <c r="R14" s="893">
        <f t="shared" si="29"/>
        <v>0</v>
      </c>
      <c r="S14" s="557"/>
      <c r="T14" s="894">
        <f t="shared" si="0"/>
        <v>0</v>
      </c>
      <c r="U14" s="161"/>
      <c r="V14" s="163"/>
      <c r="W14" s="156"/>
      <c r="X14" s="893">
        <f t="shared" si="1"/>
        <v>0</v>
      </c>
      <c r="Y14" s="557"/>
      <c r="Z14" s="893">
        <f t="shared" si="2"/>
        <v>0</v>
      </c>
      <c r="AB14" s="894">
        <f>Efetivo!D17+Efetivo!AV17</f>
        <v>0</v>
      </c>
      <c r="AC14" s="161"/>
      <c r="AD14" s="895"/>
      <c r="AE14" s="156"/>
      <c r="AF14" s="893">
        <f t="shared" si="3"/>
        <v>0</v>
      </c>
      <c r="AG14" s="557"/>
      <c r="AH14" s="893">
        <f t="shared" si="4"/>
        <v>0</v>
      </c>
      <c r="AJ14" s="894">
        <f t="shared" si="5"/>
        <v>0</v>
      </c>
      <c r="AK14" s="161"/>
      <c r="AL14" s="895"/>
      <c r="AM14" s="156"/>
      <c r="AN14" s="893">
        <f t="shared" si="6"/>
        <v>0</v>
      </c>
      <c r="AO14" s="557"/>
      <c r="AP14" s="893">
        <f t="shared" si="7"/>
        <v>0</v>
      </c>
      <c r="AR14" s="894">
        <f t="shared" si="8"/>
        <v>0</v>
      </c>
      <c r="AS14" s="161"/>
      <c r="AT14" s="895"/>
      <c r="AU14" s="156"/>
      <c r="AV14" s="893">
        <f t="shared" si="9"/>
        <v>0</v>
      </c>
      <c r="AW14" s="557"/>
      <c r="AX14" s="893">
        <f t="shared" si="10"/>
        <v>0</v>
      </c>
      <c r="AZ14" s="894">
        <f t="shared" si="11"/>
        <v>0</v>
      </c>
      <c r="BA14" s="161"/>
      <c r="BB14" s="895"/>
      <c r="BC14" s="558"/>
      <c r="BD14" s="893">
        <f t="shared" si="12"/>
        <v>0</v>
      </c>
      <c r="BF14" s="893">
        <f t="shared" si="13"/>
        <v>0</v>
      </c>
      <c r="BH14" s="894">
        <f t="shared" si="14"/>
        <v>0</v>
      </c>
      <c r="BI14" s="161"/>
      <c r="BJ14" s="895"/>
      <c r="BK14" s="156"/>
      <c r="BL14" s="893">
        <f t="shared" si="15"/>
        <v>0</v>
      </c>
      <c r="BM14" s="557"/>
      <c r="BN14" s="893">
        <f t="shared" si="16"/>
        <v>0</v>
      </c>
      <c r="BP14" s="894">
        <f t="shared" si="17"/>
        <v>0</v>
      </c>
      <c r="BQ14" s="161"/>
      <c r="BR14" s="895"/>
      <c r="BS14" s="156"/>
      <c r="BT14" s="893">
        <f t="shared" si="18"/>
        <v>0</v>
      </c>
      <c r="BU14" s="557"/>
      <c r="BV14" s="893">
        <f t="shared" si="19"/>
        <v>0</v>
      </c>
      <c r="BX14" s="845">
        <f t="shared" si="20"/>
        <v>0</v>
      </c>
      <c r="BY14" s="845">
        <f t="shared" si="21"/>
        <v>0</v>
      </c>
      <c r="BZ14" s="845">
        <f t="shared" si="22"/>
        <v>0</v>
      </c>
      <c r="CA14" s="845">
        <f t="shared" si="23"/>
        <v>0</v>
      </c>
      <c r="CB14" s="845">
        <f t="shared" si="24"/>
        <v>0</v>
      </c>
      <c r="CC14" s="845">
        <f t="shared" si="25"/>
        <v>0</v>
      </c>
    </row>
    <row r="15" spans="1:81" ht="12" hidden="1" customHeight="1">
      <c r="A15" s="134">
        <v>8</v>
      </c>
      <c r="B15" s="892">
        <f>Efetivo!B18</f>
        <v>0</v>
      </c>
      <c r="C15" s="554"/>
      <c r="D15" s="893">
        <f>Efetivo!S18</f>
        <v>0</v>
      </c>
      <c r="E15" s="554"/>
      <c r="F15" s="560">
        <f>Efetivo!D18+Efetivo!AV18</f>
        <v>0</v>
      </c>
      <c r="G15" s="155"/>
      <c r="H15" s="160"/>
      <c r="I15" s="161"/>
      <c r="J15" s="162"/>
      <c r="K15" s="156"/>
      <c r="L15" s="560">
        <f>IF(Efetivo!BV18&gt;0,Efetivo!BV18,Efetivo!F18)</f>
        <v>0</v>
      </c>
      <c r="M15" s="557"/>
      <c r="N15" s="893">
        <f t="shared" si="26"/>
        <v>0</v>
      </c>
      <c r="O15" s="558"/>
      <c r="P15" s="893">
        <f t="shared" si="27"/>
        <v>0</v>
      </c>
      <c r="Q15" s="912">
        <f t="shared" si="28"/>
        <v>0</v>
      </c>
      <c r="R15" s="893">
        <f t="shared" si="29"/>
        <v>0</v>
      </c>
      <c r="S15" s="557"/>
      <c r="T15" s="894">
        <f t="shared" si="0"/>
        <v>0</v>
      </c>
      <c r="U15" s="161"/>
      <c r="V15" s="163"/>
      <c r="W15" s="156"/>
      <c r="X15" s="893">
        <f t="shared" si="1"/>
        <v>0</v>
      </c>
      <c r="Y15" s="557"/>
      <c r="Z15" s="893">
        <f t="shared" si="2"/>
        <v>0</v>
      </c>
      <c r="AB15" s="894">
        <f>Efetivo!D18+Efetivo!AV18</f>
        <v>0</v>
      </c>
      <c r="AC15" s="161"/>
      <c r="AD15" s="895"/>
      <c r="AE15" s="156"/>
      <c r="AF15" s="893">
        <f t="shared" si="3"/>
        <v>0</v>
      </c>
      <c r="AG15" s="557"/>
      <c r="AH15" s="893">
        <f t="shared" si="4"/>
        <v>0</v>
      </c>
      <c r="AJ15" s="894">
        <f t="shared" si="5"/>
        <v>0</v>
      </c>
      <c r="AK15" s="161"/>
      <c r="AL15" s="895"/>
      <c r="AM15" s="156"/>
      <c r="AN15" s="893">
        <f t="shared" si="6"/>
        <v>0</v>
      </c>
      <c r="AO15" s="557"/>
      <c r="AP15" s="893">
        <f t="shared" si="7"/>
        <v>0</v>
      </c>
      <c r="AR15" s="894">
        <f t="shared" si="8"/>
        <v>0</v>
      </c>
      <c r="AS15" s="161"/>
      <c r="AT15" s="895"/>
      <c r="AU15" s="156"/>
      <c r="AV15" s="893">
        <f t="shared" si="9"/>
        <v>0</v>
      </c>
      <c r="AW15" s="557"/>
      <c r="AX15" s="893">
        <f t="shared" si="10"/>
        <v>0</v>
      </c>
      <c r="AZ15" s="894">
        <f t="shared" si="11"/>
        <v>0</v>
      </c>
      <c r="BA15" s="161"/>
      <c r="BB15" s="895"/>
      <c r="BC15" s="558"/>
      <c r="BD15" s="893">
        <f t="shared" si="12"/>
        <v>0</v>
      </c>
      <c r="BF15" s="893">
        <f t="shared" si="13"/>
        <v>0</v>
      </c>
      <c r="BH15" s="894">
        <f t="shared" si="14"/>
        <v>0</v>
      </c>
      <c r="BI15" s="161"/>
      <c r="BJ15" s="895"/>
      <c r="BK15" s="156"/>
      <c r="BL15" s="893">
        <f t="shared" si="15"/>
        <v>0</v>
      </c>
      <c r="BM15" s="557"/>
      <c r="BN15" s="893">
        <f t="shared" si="16"/>
        <v>0</v>
      </c>
      <c r="BP15" s="894">
        <f t="shared" si="17"/>
        <v>0</v>
      </c>
      <c r="BQ15" s="161"/>
      <c r="BR15" s="895"/>
      <c r="BS15" s="156"/>
      <c r="BT15" s="893">
        <f t="shared" si="18"/>
        <v>0</v>
      </c>
      <c r="BU15" s="557"/>
      <c r="BV15" s="893">
        <f t="shared" si="19"/>
        <v>0</v>
      </c>
      <c r="BX15" s="845">
        <f t="shared" si="20"/>
        <v>0</v>
      </c>
      <c r="BY15" s="845">
        <f t="shared" si="21"/>
        <v>0</v>
      </c>
      <c r="BZ15" s="845">
        <f t="shared" si="22"/>
        <v>0</v>
      </c>
      <c r="CA15" s="845">
        <f t="shared" si="23"/>
        <v>0</v>
      </c>
      <c r="CB15" s="845">
        <f t="shared" si="24"/>
        <v>0</v>
      </c>
      <c r="CC15" s="845">
        <f t="shared" si="25"/>
        <v>0</v>
      </c>
    </row>
    <row r="16" spans="1:81" ht="12" hidden="1" customHeight="1">
      <c r="A16" s="134">
        <v>9</v>
      </c>
      <c r="B16" s="892">
        <f>Efetivo!B19</f>
        <v>0</v>
      </c>
      <c r="C16" s="554"/>
      <c r="D16" s="893">
        <f>Efetivo!S19</f>
        <v>0</v>
      </c>
      <c r="E16" s="554"/>
      <c r="F16" s="560">
        <f>Efetivo!D19+Efetivo!AV19</f>
        <v>0</v>
      </c>
      <c r="G16" s="155"/>
      <c r="H16" s="160"/>
      <c r="I16" s="161"/>
      <c r="J16" s="162"/>
      <c r="K16" s="156"/>
      <c r="L16" s="560">
        <f>IF(Efetivo!BV19&gt;0,Efetivo!BV19,Efetivo!F19)</f>
        <v>0</v>
      </c>
      <c r="M16" s="557"/>
      <c r="N16" s="893">
        <f t="shared" si="26"/>
        <v>0</v>
      </c>
      <c r="O16" s="558"/>
      <c r="P16" s="893">
        <f t="shared" si="27"/>
        <v>0</v>
      </c>
      <c r="Q16" s="912">
        <f t="shared" si="28"/>
        <v>0</v>
      </c>
      <c r="R16" s="893">
        <f t="shared" si="29"/>
        <v>0</v>
      </c>
      <c r="S16" s="557"/>
      <c r="T16" s="894">
        <f t="shared" si="0"/>
        <v>0</v>
      </c>
      <c r="U16" s="161"/>
      <c r="V16" s="163"/>
      <c r="W16" s="156"/>
      <c r="X16" s="893">
        <f t="shared" si="1"/>
        <v>0</v>
      </c>
      <c r="Y16" s="557"/>
      <c r="Z16" s="893">
        <f t="shared" si="2"/>
        <v>0</v>
      </c>
      <c r="AB16" s="894">
        <f>Efetivo!D19+Efetivo!AV19</f>
        <v>0</v>
      </c>
      <c r="AC16" s="161"/>
      <c r="AD16" s="895"/>
      <c r="AE16" s="156"/>
      <c r="AF16" s="893">
        <f t="shared" si="3"/>
        <v>0</v>
      </c>
      <c r="AG16" s="557"/>
      <c r="AH16" s="893">
        <f t="shared" si="4"/>
        <v>0</v>
      </c>
      <c r="AJ16" s="894">
        <f t="shared" si="5"/>
        <v>0</v>
      </c>
      <c r="AK16" s="161"/>
      <c r="AL16" s="895"/>
      <c r="AM16" s="156"/>
      <c r="AN16" s="893">
        <f t="shared" si="6"/>
        <v>0</v>
      </c>
      <c r="AO16" s="557"/>
      <c r="AP16" s="893">
        <f t="shared" si="7"/>
        <v>0</v>
      </c>
      <c r="AR16" s="894">
        <f t="shared" si="8"/>
        <v>0</v>
      </c>
      <c r="AS16" s="161"/>
      <c r="AT16" s="895"/>
      <c r="AU16" s="156"/>
      <c r="AV16" s="893">
        <f t="shared" si="9"/>
        <v>0</v>
      </c>
      <c r="AW16" s="557"/>
      <c r="AX16" s="893">
        <f t="shared" si="10"/>
        <v>0</v>
      </c>
      <c r="AZ16" s="894">
        <f t="shared" si="11"/>
        <v>0</v>
      </c>
      <c r="BA16" s="161"/>
      <c r="BB16" s="895"/>
      <c r="BC16" s="558"/>
      <c r="BD16" s="893">
        <f t="shared" si="12"/>
        <v>0</v>
      </c>
      <c r="BF16" s="893">
        <f t="shared" si="13"/>
        <v>0</v>
      </c>
      <c r="BH16" s="894">
        <f t="shared" si="14"/>
        <v>0</v>
      </c>
      <c r="BI16" s="161"/>
      <c r="BJ16" s="895"/>
      <c r="BK16" s="156"/>
      <c r="BL16" s="893">
        <f t="shared" si="15"/>
        <v>0</v>
      </c>
      <c r="BM16" s="557"/>
      <c r="BN16" s="893">
        <f t="shared" si="16"/>
        <v>0</v>
      </c>
      <c r="BP16" s="894">
        <f t="shared" si="17"/>
        <v>0</v>
      </c>
      <c r="BQ16" s="161"/>
      <c r="BR16" s="895"/>
      <c r="BS16" s="156"/>
      <c r="BT16" s="893">
        <f t="shared" si="18"/>
        <v>0</v>
      </c>
      <c r="BU16" s="557"/>
      <c r="BV16" s="893">
        <f t="shared" si="19"/>
        <v>0</v>
      </c>
      <c r="BX16" s="845">
        <f t="shared" si="20"/>
        <v>0</v>
      </c>
      <c r="BY16" s="845">
        <f t="shared" si="21"/>
        <v>0</v>
      </c>
      <c r="BZ16" s="845">
        <f t="shared" si="22"/>
        <v>0</v>
      </c>
      <c r="CA16" s="845">
        <f t="shared" si="23"/>
        <v>0</v>
      </c>
      <c r="CB16" s="845">
        <f t="shared" si="24"/>
        <v>0</v>
      </c>
      <c r="CC16" s="845">
        <f t="shared" si="25"/>
        <v>0</v>
      </c>
    </row>
    <row r="17" spans="1:81" ht="12" hidden="1" customHeight="1">
      <c r="A17" s="134">
        <v>10</v>
      </c>
      <c r="B17" s="892">
        <f>Efetivo!B20</f>
        <v>0</v>
      </c>
      <c r="C17" s="554"/>
      <c r="D17" s="893">
        <f>Efetivo!S20</f>
        <v>0</v>
      </c>
      <c r="E17" s="554"/>
      <c r="F17" s="560">
        <f>Efetivo!D20+Efetivo!AV20</f>
        <v>0</v>
      </c>
      <c r="G17" s="155"/>
      <c r="H17" s="160"/>
      <c r="I17" s="161"/>
      <c r="J17" s="162"/>
      <c r="K17" s="156"/>
      <c r="L17" s="560">
        <f>IF(Efetivo!BV20&gt;0,Efetivo!BV20,Efetivo!F20)</f>
        <v>0</v>
      </c>
      <c r="M17" s="557"/>
      <c r="N17" s="893">
        <f t="shared" si="26"/>
        <v>0</v>
      </c>
      <c r="O17" s="558"/>
      <c r="P17" s="893">
        <f t="shared" si="27"/>
        <v>0</v>
      </c>
      <c r="Q17" s="912">
        <f t="shared" si="28"/>
        <v>0</v>
      </c>
      <c r="R17" s="893">
        <f t="shared" si="29"/>
        <v>0</v>
      </c>
      <c r="S17" s="557"/>
      <c r="T17" s="894">
        <f t="shared" si="0"/>
        <v>0</v>
      </c>
      <c r="U17" s="161"/>
      <c r="V17" s="163"/>
      <c r="W17" s="156"/>
      <c r="X17" s="893">
        <f t="shared" si="1"/>
        <v>0</v>
      </c>
      <c r="Y17" s="557"/>
      <c r="Z17" s="893">
        <f t="shared" si="2"/>
        <v>0</v>
      </c>
      <c r="AB17" s="894">
        <f>Efetivo!D20+Efetivo!AV20</f>
        <v>0</v>
      </c>
      <c r="AC17" s="161"/>
      <c r="AD17" s="895"/>
      <c r="AE17" s="156"/>
      <c r="AF17" s="893">
        <f t="shared" si="3"/>
        <v>0</v>
      </c>
      <c r="AG17" s="557"/>
      <c r="AH17" s="893">
        <f t="shared" si="4"/>
        <v>0</v>
      </c>
      <c r="AJ17" s="894">
        <f t="shared" si="5"/>
        <v>0</v>
      </c>
      <c r="AK17" s="161"/>
      <c r="AL17" s="895"/>
      <c r="AM17" s="156"/>
      <c r="AN17" s="893">
        <f t="shared" si="6"/>
        <v>0</v>
      </c>
      <c r="AO17" s="557"/>
      <c r="AP17" s="893">
        <f t="shared" si="7"/>
        <v>0</v>
      </c>
      <c r="AR17" s="894">
        <f t="shared" si="8"/>
        <v>0</v>
      </c>
      <c r="AS17" s="161"/>
      <c r="AT17" s="895"/>
      <c r="AU17" s="156"/>
      <c r="AV17" s="893">
        <f t="shared" si="9"/>
        <v>0</v>
      </c>
      <c r="AW17" s="557"/>
      <c r="AX17" s="893">
        <f t="shared" si="10"/>
        <v>0</v>
      </c>
      <c r="AZ17" s="894">
        <f t="shared" si="11"/>
        <v>0</v>
      </c>
      <c r="BA17" s="161"/>
      <c r="BB17" s="895"/>
      <c r="BC17" s="558"/>
      <c r="BD17" s="893">
        <f t="shared" si="12"/>
        <v>0</v>
      </c>
      <c r="BF17" s="893">
        <f t="shared" si="13"/>
        <v>0</v>
      </c>
      <c r="BH17" s="894">
        <f t="shared" si="14"/>
        <v>0</v>
      </c>
      <c r="BI17" s="161"/>
      <c r="BJ17" s="895"/>
      <c r="BK17" s="156"/>
      <c r="BL17" s="893">
        <f t="shared" si="15"/>
        <v>0</v>
      </c>
      <c r="BM17" s="557"/>
      <c r="BN17" s="893">
        <f t="shared" si="16"/>
        <v>0</v>
      </c>
      <c r="BP17" s="894">
        <f t="shared" si="17"/>
        <v>0</v>
      </c>
      <c r="BQ17" s="161"/>
      <c r="BR17" s="895"/>
      <c r="BS17" s="156"/>
      <c r="BT17" s="893">
        <f t="shared" si="18"/>
        <v>0</v>
      </c>
      <c r="BU17" s="557"/>
      <c r="BV17" s="893">
        <f t="shared" si="19"/>
        <v>0</v>
      </c>
      <c r="BX17" s="845">
        <f t="shared" si="20"/>
        <v>0</v>
      </c>
      <c r="BY17" s="845">
        <f t="shared" si="21"/>
        <v>0</v>
      </c>
      <c r="BZ17" s="845">
        <f t="shared" si="22"/>
        <v>0</v>
      </c>
      <c r="CA17" s="845">
        <f t="shared" si="23"/>
        <v>0</v>
      </c>
      <c r="CB17" s="845">
        <f t="shared" si="24"/>
        <v>0</v>
      </c>
      <c r="CC17" s="845">
        <f t="shared" si="25"/>
        <v>0</v>
      </c>
    </row>
    <row r="18" spans="1:81" ht="12" hidden="1" customHeight="1">
      <c r="A18" s="134">
        <v>11</v>
      </c>
      <c r="B18" s="892">
        <f>Efetivo!B21</f>
        <v>0</v>
      </c>
      <c r="C18" s="554"/>
      <c r="D18" s="893">
        <f>Efetivo!S21</f>
        <v>0</v>
      </c>
      <c r="E18" s="554"/>
      <c r="F18" s="560">
        <f>Efetivo!D21+Efetivo!AV21</f>
        <v>0</v>
      </c>
      <c r="G18" s="155"/>
      <c r="H18" s="160"/>
      <c r="I18" s="161"/>
      <c r="J18" s="162"/>
      <c r="K18" s="156"/>
      <c r="L18" s="560">
        <f>IF(Efetivo!BV21&gt;0,Efetivo!BV21,Efetivo!F21)</f>
        <v>0</v>
      </c>
      <c r="M18" s="557"/>
      <c r="N18" s="893">
        <f t="shared" si="26"/>
        <v>0</v>
      </c>
      <c r="O18" s="558"/>
      <c r="P18" s="893">
        <f t="shared" si="27"/>
        <v>0</v>
      </c>
      <c r="Q18" s="912">
        <f t="shared" si="28"/>
        <v>0</v>
      </c>
      <c r="R18" s="893">
        <f t="shared" si="29"/>
        <v>0</v>
      </c>
      <c r="S18" s="557"/>
      <c r="T18" s="894">
        <f t="shared" si="0"/>
        <v>0</v>
      </c>
      <c r="U18" s="161"/>
      <c r="V18" s="163"/>
      <c r="W18" s="156"/>
      <c r="X18" s="893">
        <f t="shared" si="1"/>
        <v>0</v>
      </c>
      <c r="Y18" s="557"/>
      <c r="Z18" s="893">
        <f t="shared" si="2"/>
        <v>0</v>
      </c>
      <c r="AB18" s="894">
        <f>Efetivo!D21+Efetivo!AV21</f>
        <v>0</v>
      </c>
      <c r="AC18" s="161"/>
      <c r="AD18" s="895"/>
      <c r="AE18" s="156"/>
      <c r="AF18" s="893">
        <f t="shared" si="3"/>
        <v>0</v>
      </c>
      <c r="AG18" s="557"/>
      <c r="AH18" s="893">
        <f t="shared" si="4"/>
        <v>0</v>
      </c>
      <c r="AJ18" s="894">
        <f t="shared" si="5"/>
        <v>0</v>
      </c>
      <c r="AK18" s="161"/>
      <c r="AL18" s="895"/>
      <c r="AM18" s="156"/>
      <c r="AN18" s="893">
        <f t="shared" si="6"/>
        <v>0</v>
      </c>
      <c r="AO18" s="557"/>
      <c r="AP18" s="893">
        <f t="shared" si="7"/>
        <v>0</v>
      </c>
      <c r="AR18" s="894">
        <f t="shared" si="8"/>
        <v>0</v>
      </c>
      <c r="AS18" s="161"/>
      <c r="AT18" s="895"/>
      <c r="AU18" s="156"/>
      <c r="AV18" s="893">
        <f t="shared" si="9"/>
        <v>0</v>
      </c>
      <c r="AW18" s="557"/>
      <c r="AX18" s="893">
        <f t="shared" si="10"/>
        <v>0</v>
      </c>
      <c r="AZ18" s="894">
        <f t="shared" si="11"/>
        <v>0</v>
      </c>
      <c r="BA18" s="161"/>
      <c r="BB18" s="895"/>
      <c r="BC18" s="558"/>
      <c r="BD18" s="893">
        <f t="shared" si="12"/>
        <v>0</v>
      </c>
      <c r="BF18" s="893">
        <f t="shared" si="13"/>
        <v>0</v>
      </c>
      <c r="BH18" s="894">
        <f t="shared" si="14"/>
        <v>0</v>
      </c>
      <c r="BI18" s="161"/>
      <c r="BJ18" s="895"/>
      <c r="BK18" s="156"/>
      <c r="BL18" s="893">
        <f t="shared" si="15"/>
        <v>0</v>
      </c>
      <c r="BM18" s="557"/>
      <c r="BN18" s="893">
        <f t="shared" si="16"/>
        <v>0</v>
      </c>
      <c r="BP18" s="894">
        <f t="shared" si="17"/>
        <v>0</v>
      </c>
      <c r="BQ18" s="161"/>
      <c r="BR18" s="895"/>
      <c r="BS18" s="156"/>
      <c r="BT18" s="893">
        <f t="shared" si="18"/>
        <v>0</v>
      </c>
      <c r="BU18" s="557"/>
      <c r="BV18" s="893">
        <f t="shared" si="19"/>
        <v>0</v>
      </c>
      <c r="BX18" s="845">
        <f t="shared" si="20"/>
        <v>0</v>
      </c>
      <c r="BY18" s="845">
        <f t="shared" si="21"/>
        <v>0</v>
      </c>
      <c r="BZ18" s="845">
        <f t="shared" si="22"/>
        <v>0</v>
      </c>
      <c r="CA18" s="845">
        <f t="shared" si="23"/>
        <v>0</v>
      </c>
      <c r="CB18" s="845">
        <f t="shared" si="24"/>
        <v>0</v>
      </c>
      <c r="CC18" s="845">
        <f t="shared" si="25"/>
        <v>0</v>
      </c>
    </row>
    <row r="19" spans="1:81" ht="12" hidden="1" customHeight="1">
      <c r="A19" s="134">
        <v>12</v>
      </c>
      <c r="B19" s="892">
        <f>Efetivo!B22</f>
        <v>0</v>
      </c>
      <c r="C19" s="554"/>
      <c r="D19" s="893">
        <f>Efetivo!S22</f>
        <v>0</v>
      </c>
      <c r="E19" s="554"/>
      <c r="F19" s="560">
        <f>Efetivo!D22+Efetivo!AV22</f>
        <v>0</v>
      </c>
      <c r="G19" s="155"/>
      <c r="H19" s="160"/>
      <c r="I19" s="161"/>
      <c r="J19" s="162"/>
      <c r="K19" s="156"/>
      <c r="L19" s="560">
        <f>IF(Efetivo!BV22&gt;0,Efetivo!BV22,Efetivo!F22)</f>
        <v>0</v>
      </c>
      <c r="M19" s="557"/>
      <c r="N19" s="893">
        <f t="shared" si="26"/>
        <v>0</v>
      </c>
      <c r="O19" s="558"/>
      <c r="P19" s="893">
        <f t="shared" si="27"/>
        <v>0</v>
      </c>
      <c r="Q19" s="912">
        <f t="shared" si="28"/>
        <v>0</v>
      </c>
      <c r="R19" s="893">
        <f t="shared" si="29"/>
        <v>0</v>
      </c>
      <c r="S19" s="557"/>
      <c r="T19" s="894">
        <f t="shared" si="0"/>
        <v>0</v>
      </c>
      <c r="U19" s="161"/>
      <c r="V19" s="163"/>
      <c r="W19" s="156"/>
      <c r="X19" s="893">
        <f t="shared" si="1"/>
        <v>0</v>
      </c>
      <c r="Y19" s="557"/>
      <c r="Z19" s="893">
        <f t="shared" si="2"/>
        <v>0</v>
      </c>
      <c r="AB19" s="894">
        <f>Efetivo!D22+Efetivo!AV22</f>
        <v>0</v>
      </c>
      <c r="AC19" s="161"/>
      <c r="AD19" s="895"/>
      <c r="AE19" s="156"/>
      <c r="AF19" s="893">
        <f t="shared" si="3"/>
        <v>0</v>
      </c>
      <c r="AG19" s="557"/>
      <c r="AH19" s="893">
        <f t="shared" si="4"/>
        <v>0</v>
      </c>
      <c r="AJ19" s="894">
        <f t="shared" si="5"/>
        <v>0</v>
      </c>
      <c r="AK19" s="161"/>
      <c r="AL19" s="895"/>
      <c r="AM19" s="156"/>
      <c r="AN19" s="893">
        <f t="shared" si="6"/>
        <v>0</v>
      </c>
      <c r="AO19" s="557"/>
      <c r="AP19" s="893">
        <f t="shared" si="7"/>
        <v>0</v>
      </c>
      <c r="AR19" s="894">
        <f t="shared" si="8"/>
        <v>0</v>
      </c>
      <c r="AS19" s="161"/>
      <c r="AT19" s="895"/>
      <c r="AU19" s="156"/>
      <c r="AV19" s="893">
        <f t="shared" si="9"/>
        <v>0</v>
      </c>
      <c r="AW19" s="557"/>
      <c r="AX19" s="893">
        <f t="shared" si="10"/>
        <v>0</v>
      </c>
      <c r="AZ19" s="894">
        <f t="shared" si="11"/>
        <v>0</v>
      </c>
      <c r="BA19" s="161"/>
      <c r="BB19" s="895"/>
      <c r="BC19" s="558"/>
      <c r="BD19" s="893">
        <f t="shared" si="12"/>
        <v>0</v>
      </c>
      <c r="BF19" s="893">
        <f t="shared" si="13"/>
        <v>0</v>
      </c>
      <c r="BH19" s="894">
        <f t="shared" si="14"/>
        <v>0</v>
      </c>
      <c r="BI19" s="161"/>
      <c r="BJ19" s="895"/>
      <c r="BK19" s="156"/>
      <c r="BL19" s="893">
        <f t="shared" si="15"/>
        <v>0</v>
      </c>
      <c r="BM19" s="557"/>
      <c r="BN19" s="893">
        <f t="shared" si="16"/>
        <v>0</v>
      </c>
      <c r="BP19" s="894">
        <f t="shared" si="17"/>
        <v>0</v>
      </c>
      <c r="BQ19" s="161"/>
      <c r="BR19" s="895"/>
      <c r="BS19" s="156"/>
      <c r="BT19" s="893">
        <f t="shared" si="18"/>
        <v>0</v>
      </c>
      <c r="BU19" s="557"/>
      <c r="BV19" s="893">
        <f t="shared" si="19"/>
        <v>0</v>
      </c>
      <c r="BX19" s="845">
        <f t="shared" si="20"/>
        <v>0</v>
      </c>
      <c r="BY19" s="845">
        <f t="shared" si="21"/>
        <v>0</v>
      </c>
      <c r="BZ19" s="845">
        <f t="shared" si="22"/>
        <v>0</v>
      </c>
      <c r="CA19" s="845">
        <f t="shared" si="23"/>
        <v>0</v>
      </c>
      <c r="CB19" s="845">
        <f t="shared" si="24"/>
        <v>0</v>
      </c>
      <c r="CC19" s="845">
        <f t="shared" si="25"/>
        <v>0</v>
      </c>
    </row>
    <row r="20" spans="1:81" ht="12" hidden="1" customHeight="1">
      <c r="A20" s="134">
        <v>13</v>
      </c>
      <c r="B20" s="892">
        <f>Efetivo!B23</f>
        <v>0</v>
      </c>
      <c r="C20" s="554"/>
      <c r="D20" s="893">
        <f>Efetivo!S23</f>
        <v>0</v>
      </c>
      <c r="E20" s="554"/>
      <c r="F20" s="560">
        <f>Efetivo!D23+Efetivo!AV23</f>
        <v>0</v>
      </c>
      <c r="G20" s="155"/>
      <c r="H20" s="160"/>
      <c r="I20" s="161"/>
      <c r="J20" s="162"/>
      <c r="K20" s="156"/>
      <c r="L20" s="560">
        <f>IF(Efetivo!BV23&gt;0,Efetivo!BV23,Efetivo!F23)</f>
        <v>0</v>
      </c>
      <c r="M20" s="557"/>
      <c r="N20" s="893">
        <f t="shared" si="26"/>
        <v>0</v>
      </c>
      <c r="O20" s="558"/>
      <c r="P20" s="893">
        <f t="shared" si="27"/>
        <v>0</v>
      </c>
      <c r="Q20" s="912">
        <f t="shared" si="28"/>
        <v>0</v>
      </c>
      <c r="R20" s="893">
        <f t="shared" si="29"/>
        <v>0</v>
      </c>
      <c r="S20" s="557"/>
      <c r="T20" s="894">
        <f t="shared" si="0"/>
        <v>0</v>
      </c>
      <c r="U20" s="161"/>
      <c r="V20" s="163"/>
      <c r="W20" s="156"/>
      <c r="X20" s="893">
        <f t="shared" si="1"/>
        <v>0</v>
      </c>
      <c r="Y20" s="557"/>
      <c r="Z20" s="893">
        <f t="shared" si="2"/>
        <v>0</v>
      </c>
      <c r="AB20" s="894">
        <f>Efetivo!D23+Efetivo!AV23</f>
        <v>0</v>
      </c>
      <c r="AC20" s="161"/>
      <c r="AD20" s="895"/>
      <c r="AE20" s="156"/>
      <c r="AF20" s="893">
        <f t="shared" si="3"/>
        <v>0</v>
      </c>
      <c r="AG20" s="557"/>
      <c r="AH20" s="893">
        <f t="shared" si="4"/>
        <v>0</v>
      </c>
      <c r="AJ20" s="894">
        <f t="shared" si="5"/>
        <v>0</v>
      </c>
      <c r="AK20" s="161"/>
      <c r="AL20" s="895"/>
      <c r="AM20" s="156"/>
      <c r="AN20" s="893">
        <f t="shared" si="6"/>
        <v>0</v>
      </c>
      <c r="AO20" s="557"/>
      <c r="AP20" s="893">
        <f t="shared" si="7"/>
        <v>0</v>
      </c>
      <c r="AR20" s="894">
        <f t="shared" si="8"/>
        <v>0</v>
      </c>
      <c r="AS20" s="161"/>
      <c r="AT20" s="895"/>
      <c r="AU20" s="156"/>
      <c r="AV20" s="893">
        <f t="shared" si="9"/>
        <v>0</v>
      </c>
      <c r="AW20" s="557"/>
      <c r="AX20" s="893">
        <f t="shared" si="10"/>
        <v>0</v>
      </c>
      <c r="AZ20" s="894">
        <f t="shared" si="11"/>
        <v>0</v>
      </c>
      <c r="BA20" s="161"/>
      <c r="BB20" s="895"/>
      <c r="BC20" s="558"/>
      <c r="BD20" s="893">
        <f t="shared" si="12"/>
        <v>0</v>
      </c>
      <c r="BF20" s="893">
        <f t="shared" si="13"/>
        <v>0</v>
      </c>
      <c r="BH20" s="894">
        <f t="shared" si="14"/>
        <v>0</v>
      </c>
      <c r="BI20" s="161"/>
      <c r="BJ20" s="895"/>
      <c r="BK20" s="156"/>
      <c r="BL20" s="893">
        <f t="shared" si="15"/>
        <v>0</v>
      </c>
      <c r="BM20" s="557"/>
      <c r="BN20" s="893">
        <f t="shared" si="16"/>
        <v>0</v>
      </c>
      <c r="BP20" s="894">
        <f t="shared" si="17"/>
        <v>0</v>
      </c>
      <c r="BQ20" s="161"/>
      <c r="BR20" s="895"/>
      <c r="BS20" s="156"/>
      <c r="BT20" s="893">
        <f t="shared" si="18"/>
        <v>0</v>
      </c>
      <c r="BU20" s="557"/>
      <c r="BV20" s="893">
        <f t="shared" si="19"/>
        <v>0</v>
      </c>
      <c r="BX20" s="845">
        <f t="shared" si="20"/>
        <v>0</v>
      </c>
      <c r="BY20" s="845">
        <f t="shared" si="21"/>
        <v>0</v>
      </c>
      <c r="BZ20" s="845">
        <f t="shared" si="22"/>
        <v>0</v>
      </c>
      <c r="CA20" s="845">
        <f t="shared" si="23"/>
        <v>0</v>
      </c>
      <c r="CB20" s="845">
        <f t="shared" si="24"/>
        <v>0</v>
      </c>
      <c r="CC20" s="845">
        <f t="shared" si="25"/>
        <v>0</v>
      </c>
    </row>
    <row r="21" spans="1:81" ht="12" hidden="1" customHeight="1">
      <c r="A21" s="134">
        <v>14</v>
      </c>
      <c r="B21" s="892">
        <f>Efetivo!B24</f>
        <v>0</v>
      </c>
      <c r="C21" s="554"/>
      <c r="D21" s="893">
        <f>Efetivo!S24</f>
        <v>0</v>
      </c>
      <c r="E21" s="554"/>
      <c r="F21" s="560">
        <f>Efetivo!D24+Efetivo!AV24</f>
        <v>0</v>
      </c>
      <c r="G21" s="155"/>
      <c r="H21" s="160"/>
      <c r="I21" s="161"/>
      <c r="J21" s="162"/>
      <c r="K21" s="156"/>
      <c r="L21" s="560">
        <f>IF(Efetivo!BV24&gt;0,Efetivo!BV24,Efetivo!F24)</f>
        <v>0</v>
      </c>
      <c r="M21" s="557"/>
      <c r="N21" s="893">
        <f t="shared" si="26"/>
        <v>0</v>
      </c>
      <c r="O21" s="558"/>
      <c r="P21" s="893">
        <f t="shared" si="27"/>
        <v>0</v>
      </c>
      <c r="Q21" s="912">
        <f t="shared" si="28"/>
        <v>0</v>
      </c>
      <c r="R21" s="893">
        <f t="shared" si="29"/>
        <v>0</v>
      </c>
      <c r="S21" s="557"/>
      <c r="T21" s="894">
        <f t="shared" si="0"/>
        <v>0</v>
      </c>
      <c r="U21" s="161"/>
      <c r="V21" s="163"/>
      <c r="W21" s="156"/>
      <c r="X21" s="893">
        <f t="shared" si="1"/>
        <v>0</v>
      </c>
      <c r="Y21" s="557"/>
      <c r="Z21" s="893">
        <f t="shared" si="2"/>
        <v>0</v>
      </c>
      <c r="AB21" s="894">
        <f>Efetivo!D24+Efetivo!AV24</f>
        <v>0</v>
      </c>
      <c r="AC21" s="161"/>
      <c r="AD21" s="895"/>
      <c r="AE21" s="156"/>
      <c r="AF21" s="893">
        <f t="shared" si="3"/>
        <v>0</v>
      </c>
      <c r="AG21" s="557"/>
      <c r="AH21" s="893">
        <f t="shared" si="4"/>
        <v>0</v>
      </c>
      <c r="AJ21" s="894">
        <f t="shared" si="5"/>
        <v>0</v>
      </c>
      <c r="AK21" s="161"/>
      <c r="AL21" s="895"/>
      <c r="AM21" s="156"/>
      <c r="AN21" s="893">
        <f t="shared" si="6"/>
        <v>0</v>
      </c>
      <c r="AO21" s="557"/>
      <c r="AP21" s="893">
        <f t="shared" si="7"/>
        <v>0</v>
      </c>
      <c r="AR21" s="894">
        <f t="shared" si="8"/>
        <v>0</v>
      </c>
      <c r="AS21" s="161"/>
      <c r="AT21" s="895"/>
      <c r="AU21" s="156"/>
      <c r="AV21" s="893">
        <f t="shared" si="9"/>
        <v>0</v>
      </c>
      <c r="AW21" s="557"/>
      <c r="AX21" s="893">
        <f t="shared" si="10"/>
        <v>0</v>
      </c>
      <c r="AZ21" s="894">
        <f t="shared" si="11"/>
        <v>0</v>
      </c>
      <c r="BA21" s="161"/>
      <c r="BB21" s="895"/>
      <c r="BC21" s="558"/>
      <c r="BD21" s="893">
        <f t="shared" si="12"/>
        <v>0</v>
      </c>
      <c r="BF21" s="893">
        <f t="shared" si="13"/>
        <v>0</v>
      </c>
      <c r="BH21" s="894">
        <f t="shared" si="14"/>
        <v>0</v>
      </c>
      <c r="BI21" s="161"/>
      <c r="BJ21" s="895"/>
      <c r="BK21" s="156"/>
      <c r="BL21" s="893">
        <f t="shared" si="15"/>
        <v>0</v>
      </c>
      <c r="BM21" s="557"/>
      <c r="BN21" s="893">
        <f t="shared" si="16"/>
        <v>0</v>
      </c>
      <c r="BP21" s="894">
        <f t="shared" si="17"/>
        <v>0</v>
      </c>
      <c r="BQ21" s="161"/>
      <c r="BR21" s="895"/>
      <c r="BS21" s="156"/>
      <c r="BT21" s="893">
        <f t="shared" si="18"/>
        <v>0</v>
      </c>
      <c r="BU21" s="557"/>
      <c r="BV21" s="893">
        <f t="shared" si="19"/>
        <v>0</v>
      </c>
      <c r="BX21" s="845">
        <f t="shared" si="20"/>
        <v>0</v>
      </c>
      <c r="BY21" s="845">
        <f t="shared" si="21"/>
        <v>0</v>
      </c>
      <c r="BZ21" s="845">
        <f t="shared" si="22"/>
        <v>0</v>
      </c>
      <c r="CA21" s="845">
        <f t="shared" si="23"/>
        <v>0</v>
      </c>
      <c r="CB21" s="845">
        <f t="shared" si="24"/>
        <v>0</v>
      </c>
      <c r="CC21" s="845">
        <f t="shared" si="25"/>
        <v>0</v>
      </c>
    </row>
    <row r="22" spans="1:81" ht="12" hidden="1" customHeight="1">
      <c r="A22" s="134">
        <v>15</v>
      </c>
      <c r="B22" s="892">
        <f>Efetivo!B25</f>
        <v>0</v>
      </c>
      <c r="C22" s="554"/>
      <c r="D22" s="893">
        <f>Efetivo!S25</f>
        <v>0</v>
      </c>
      <c r="E22" s="554"/>
      <c r="F22" s="560">
        <f>Efetivo!D25+Efetivo!AV25</f>
        <v>0</v>
      </c>
      <c r="G22" s="155"/>
      <c r="H22" s="160"/>
      <c r="I22" s="161"/>
      <c r="J22" s="162"/>
      <c r="K22" s="156"/>
      <c r="L22" s="560">
        <f>IF(Efetivo!BV25&gt;0,Efetivo!BV25,Efetivo!F25)</f>
        <v>0</v>
      </c>
      <c r="M22" s="557"/>
      <c r="N22" s="893">
        <f t="shared" si="26"/>
        <v>0</v>
      </c>
      <c r="O22" s="558"/>
      <c r="P22" s="893">
        <f t="shared" si="27"/>
        <v>0</v>
      </c>
      <c r="Q22" s="912">
        <f t="shared" si="28"/>
        <v>0</v>
      </c>
      <c r="R22" s="893">
        <f t="shared" si="29"/>
        <v>0</v>
      </c>
      <c r="S22" s="557"/>
      <c r="T22" s="894">
        <f t="shared" si="0"/>
        <v>0</v>
      </c>
      <c r="U22" s="161"/>
      <c r="V22" s="163"/>
      <c r="W22" s="156"/>
      <c r="X22" s="893">
        <f t="shared" si="1"/>
        <v>0</v>
      </c>
      <c r="Y22" s="557"/>
      <c r="Z22" s="893">
        <f t="shared" si="2"/>
        <v>0</v>
      </c>
      <c r="AB22" s="894">
        <f>Efetivo!D25+Efetivo!AV25</f>
        <v>0</v>
      </c>
      <c r="AC22" s="161"/>
      <c r="AD22" s="895"/>
      <c r="AE22" s="156"/>
      <c r="AF22" s="893">
        <f t="shared" si="3"/>
        <v>0</v>
      </c>
      <c r="AG22" s="557"/>
      <c r="AH22" s="893">
        <f t="shared" si="4"/>
        <v>0</v>
      </c>
      <c r="AJ22" s="894">
        <f t="shared" si="5"/>
        <v>0</v>
      </c>
      <c r="AK22" s="161"/>
      <c r="AL22" s="895"/>
      <c r="AM22" s="156"/>
      <c r="AN22" s="893">
        <f t="shared" si="6"/>
        <v>0</v>
      </c>
      <c r="AO22" s="557"/>
      <c r="AP22" s="893">
        <f t="shared" si="7"/>
        <v>0</v>
      </c>
      <c r="AR22" s="894">
        <f t="shared" si="8"/>
        <v>0</v>
      </c>
      <c r="AS22" s="161"/>
      <c r="AT22" s="895"/>
      <c r="AU22" s="156"/>
      <c r="AV22" s="893">
        <f t="shared" si="9"/>
        <v>0</v>
      </c>
      <c r="AW22" s="557"/>
      <c r="AX22" s="893">
        <f t="shared" si="10"/>
        <v>0</v>
      </c>
      <c r="AZ22" s="894">
        <f t="shared" si="11"/>
        <v>0</v>
      </c>
      <c r="BA22" s="161"/>
      <c r="BB22" s="895"/>
      <c r="BC22" s="558"/>
      <c r="BD22" s="893">
        <f t="shared" si="12"/>
        <v>0</v>
      </c>
      <c r="BF22" s="893">
        <f t="shared" si="13"/>
        <v>0</v>
      </c>
      <c r="BH22" s="894">
        <f t="shared" si="14"/>
        <v>0</v>
      </c>
      <c r="BI22" s="161"/>
      <c r="BJ22" s="895"/>
      <c r="BK22" s="156"/>
      <c r="BL22" s="893">
        <f t="shared" si="15"/>
        <v>0</v>
      </c>
      <c r="BM22" s="557"/>
      <c r="BN22" s="893">
        <f t="shared" si="16"/>
        <v>0</v>
      </c>
      <c r="BP22" s="894">
        <f t="shared" si="17"/>
        <v>0</v>
      </c>
      <c r="BQ22" s="161"/>
      <c r="BR22" s="895"/>
      <c r="BS22" s="156"/>
      <c r="BT22" s="893">
        <f t="shared" si="18"/>
        <v>0</v>
      </c>
      <c r="BU22" s="557"/>
      <c r="BV22" s="893">
        <f t="shared" si="19"/>
        <v>0</v>
      </c>
      <c r="BX22" s="845">
        <f t="shared" si="20"/>
        <v>0</v>
      </c>
      <c r="BY22" s="845">
        <f t="shared" si="21"/>
        <v>0</v>
      </c>
      <c r="BZ22" s="845">
        <f t="shared" si="22"/>
        <v>0</v>
      </c>
      <c r="CA22" s="845">
        <f t="shared" si="23"/>
        <v>0</v>
      </c>
      <c r="CB22" s="845">
        <f t="shared" si="24"/>
        <v>0</v>
      </c>
      <c r="CC22" s="845">
        <f t="shared" si="25"/>
        <v>0</v>
      </c>
    </row>
    <row r="23" spans="1:81" ht="12" hidden="1" customHeight="1">
      <c r="A23" s="134">
        <v>16</v>
      </c>
      <c r="B23" s="892">
        <f>Efetivo!B26</f>
        <v>0</v>
      </c>
      <c r="C23" s="554"/>
      <c r="D23" s="893">
        <f>Efetivo!S26</f>
        <v>0</v>
      </c>
      <c r="E23" s="554"/>
      <c r="F23" s="560">
        <f>Efetivo!D26+Efetivo!AV26</f>
        <v>0</v>
      </c>
      <c r="G23" s="155"/>
      <c r="H23" s="160"/>
      <c r="I23" s="161"/>
      <c r="J23" s="162"/>
      <c r="K23" s="156"/>
      <c r="L23" s="560">
        <f>IF(Efetivo!BV26&gt;0,Efetivo!BV26,Efetivo!F26)</f>
        <v>0</v>
      </c>
      <c r="M23" s="557"/>
      <c r="N23" s="893">
        <f t="shared" si="26"/>
        <v>0</v>
      </c>
      <c r="O23" s="558"/>
      <c r="P23" s="893">
        <f t="shared" si="27"/>
        <v>0</v>
      </c>
      <c r="Q23" s="912">
        <f t="shared" si="28"/>
        <v>0</v>
      </c>
      <c r="R23" s="893">
        <f t="shared" si="29"/>
        <v>0</v>
      </c>
      <c r="S23" s="557"/>
      <c r="T23" s="894">
        <f t="shared" si="0"/>
        <v>0</v>
      </c>
      <c r="U23" s="161"/>
      <c r="V23" s="163"/>
      <c r="W23" s="156"/>
      <c r="X23" s="893">
        <f t="shared" si="1"/>
        <v>0</v>
      </c>
      <c r="Y23" s="557"/>
      <c r="Z23" s="893">
        <f t="shared" si="2"/>
        <v>0</v>
      </c>
      <c r="AB23" s="894">
        <f>Efetivo!D26+Efetivo!AV26</f>
        <v>0</v>
      </c>
      <c r="AC23" s="161"/>
      <c r="AD23" s="895"/>
      <c r="AE23" s="156"/>
      <c r="AF23" s="893">
        <f t="shared" si="3"/>
        <v>0</v>
      </c>
      <c r="AG23" s="557"/>
      <c r="AH23" s="893">
        <f t="shared" si="4"/>
        <v>0</v>
      </c>
      <c r="AJ23" s="894">
        <f t="shared" si="5"/>
        <v>0</v>
      </c>
      <c r="AK23" s="161"/>
      <c r="AL23" s="895"/>
      <c r="AM23" s="156"/>
      <c r="AN23" s="893">
        <f t="shared" si="6"/>
        <v>0</v>
      </c>
      <c r="AO23" s="557"/>
      <c r="AP23" s="893">
        <f t="shared" si="7"/>
        <v>0</v>
      </c>
      <c r="AR23" s="894">
        <f t="shared" si="8"/>
        <v>0</v>
      </c>
      <c r="AS23" s="161"/>
      <c r="AT23" s="895"/>
      <c r="AU23" s="156"/>
      <c r="AV23" s="893">
        <f t="shared" si="9"/>
        <v>0</v>
      </c>
      <c r="AW23" s="557"/>
      <c r="AX23" s="893">
        <f t="shared" si="10"/>
        <v>0</v>
      </c>
      <c r="AZ23" s="894">
        <f t="shared" si="11"/>
        <v>0</v>
      </c>
      <c r="BA23" s="161"/>
      <c r="BB23" s="895"/>
      <c r="BC23" s="558"/>
      <c r="BD23" s="893">
        <f t="shared" si="12"/>
        <v>0</v>
      </c>
      <c r="BF23" s="893">
        <f t="shared" si="13"/>
        <v>0</v>
      </c>
      <c r="BH23" s="894">
        <f t="shared" si="14"/>
        <v>0</v>
      </c>
      <c r="BI23" s="161"/>
      <c r="BJ23" s="895"/>
      <c r="BK23" s="156"/>
      <c r="BL23" s="893">
        <f t="shared" si="15"/>
        <v>0</v>
      </c>
      <c r="BM23" s="557"/>
      <c r="BN23" s="893">
        <f t="shared" si="16"/>
        <v>0</v>
      </c>
      <c r="BP23" s="894">
        <f t="shared" si="17"/>
        <v>0</v>
      </c>
      <c r="BQ23" s="161"/>
      <c r="BR23" s="895"/>
      <c r="BS23" s="156"/>
      <c r="BT23" s="893">
        <f t="shared" si="18"/>
        <v>0</v>
      </c>
      <c r="BU23" s="557"/>
      <c r="BV23" s="893">
        <f t="shared" si="19"/>
        <v>0</v>
      </c>
      <c r="BX23" s="845">
        <f t="shared" si="20"/>
        <v>0</v>
      </c>
      <c r="BY23" s="845">
        <f t="shared" si="21"/>
        <v>0</v>
      </c>
      <c r="BZ23" s="845">
        <f t="shared" si="22"/>
        <v>0</v>
      </c>
      <c r="CA23" s="845">
        <f t="shared" si="23"/>
        <v>0</v>
      </c>
      <c r="CB23" s="845">
        <f t="shared" si="24"/>
        <v>0</v>
      </c>
      <c r="CC23" s="845">
        <f t="shared" si="25"/>
        <v>0</v>
      </c>
    </row>
    <row r="24" spans="1:81" ht="12" hidden="1" customHeight="1">
      <c r="A24" s="134">
        <v>17</v>
      </c>
      <c r="B24" s="892">
        <f>Efetivo!B27</f>
        <v>0</v>
      </c>
      <c r="C24" s="554"/>
      <c r="D24" s="893">
        <f>Efetivo!S27</f>
        <v>0</v>
      </c>
      <c r="E24" s="554"/>
      <c r="F24" s="560">
        <f>Efetivo!D27+Efetivo!AV27</f>
        <v>0</v>
      </c>
      <c r="G24" s="155"/>
      <c r="H24" s="160"/>
      <c r="I24" s="161"/>
      <c r="J24" s="162"/>
      <c r="K24" s="156"/>
      <c r="L24" s="560">
        <f>IF(Efetivo!BV27&gt;0,Efetivo!BV27,Efetivo!F27)</f>
        <v>0</v>
      </c>
      <c r="M24" s="557"/>
      <c r="N24" s="893">
        <f t="shared" si="26"/>
        <v>0</v>
      </c>
      <c r="O24" s="558"/>
      <c r="P24" s="893">
        <f t="shared" si="27"/>
        <v>0</v>
      </c>
      <c r="Q24" s="912">
        <f t="shared" si="28"/>
        <v>0</v>
      </c>
      <c r="R24" s="893">
        <f t="shared" si="29"/>
        <v>0</v>
      </c>
      <c r="S24" s="557"/>
      <c r="T24" s="894">
        <f t="shared" si="0"/>
        <v>0</v>
      </c>
      <c r="U24" s="161"/>
      <c r="V24" s="163"/>
      <c r="W24" s="156"/>
      <c r="X24" s="893">
        <f t="shared" si="1"/>
        <v>0</v>
      </c>
      <c r="Y24" s="557"/>
      <c r="Z24" s="893">
        <f t="shared" si="2"/>
        <v>0</v>
      </c>
      <c r="AB24" s="894">
        <f>Efetivo!D27+Efetivo!AV27</f>
        <v>0</v>
      </c>
      <c r="AC24" s="161"/>
      <c r="AD24" s="895"/>
      <c r="AE24" s="156"/>
      <c r="AF24" s="893">
        <f t="shared" si="3"/>
        <v>0</v>
      </c>
      <c r="AG24" s="557"/>
      <c r="AH24" s="893">
        <f t="shared" si="4"/>
        <v>0</v>
      </c>
      <c r="AJ24" s="894">
        <f t="shared" si="5"/>
        <v>0</v>
      </c>
      <c r="AK24" s="161"/>
      <c r="AL24" s="895"/>
      <c r="AM24" s="156"/>
      <c r="AN24" s="893">
        <f t="shared" si="6"/>
        <v>0</v>
      </c>
      <c r="AO24" s="557"/>
      <c r="AP24" s="893">
        <f t="shared" si="7"/>
        <v>0</v>
      </c>
      <c r="AR24" s="894">
        <f t="shared" si="8"/>
        <v>0</v>
      </c>
      <c r="AS24" s="161"/>
      <c r="AT24" s="895"/>
      <c r="AU24" s="156"/>
      <c r="AV24" s="893">
        <f t="shared" si="9"/>
        <v>0</v>
      </c>
      <c r="AW24" s="557"/>
      <c r="AX24" s="893">
        <f t="shared" si="10"/>
        <v>0</v>
      </c>
      <c r="AZ24" s="894">
        <f t="shared" si="11"/>
        <v>0</v>
      </c>
      <c r="BA24" s="161"/>
      <c r="BB24" s="895"/>
      <c r="BC24" s="558"/>
      <c r="BD24" s="893">
        <f t="shared" si="12"/>
        <v>0</v>
      </c>
      <c r="BF24" s="893">
        <f t="shared" si="13"/>
        <v>0</v>
      </c>
      <c r="BH24" s="894">
        <f t="shared" si="14"/>
        <v>0</v>
      </c>
      <c r="BI24" s="161"/>
      <c r="BJ24" s="895"/>
      <c r="BK24" s="156"/>
      <c r="BL24" s="893">
        <f t="shared" si="15"/>
        <v>0</v>
      </c>
      <c r="BM24" s="557"/>
      <c r="BN24" s="893">
        <f t="shared" si="16"/>
        <v>0</v>
      </c>
      <c r="BP24" s="894">
        <f t="shared" si="17"/>
        <v>0</v>
      </c>
      <c r="BQ24" s="161"/>
      <c r="BR24" s="895"/>
      <c r="BS24" s="156"/>
      <c r="BT24" s="893">
        <f t="shared" si="18"/>
        <v>0</v>
      </c>
      <c r="BU24" s="557"/>
      <c r="BV24" s="893">
        <f t="shared" si="19"/>
        <v>0</v>
      </c>
      <c r="BX24" s="845">
        <f t="shared" si="20"/>
        <v>0</v>
      </c>
      <c r="BY24" s="845">
        <f t="shared" si="21"/>
        <v>0</v>
      </c>
      <c r="BZ24" s="845">
        <f t="shared" si="22"/>
        <v>0</v>
      </c>
      <c r="CA24" s="845">
        <f t="shared" si="23"/>
        <v>0</v>
      </c>
      <c r="CB24" s="845">
        <f t="shared" si="24"/>
        <v>0</v>
      </c>
      <c r="CC24" s="845">
        <f t="shared" si="25"/>
        <v>0</v>
      </c>
    </row>
    <row r="25" spans="1:81" ht="12" hidden="1" customHeight="1">
      <c r="A25" s="134">
        <v>18</v>
      </c>
      <c r="B25" s="892">
        <f>Efetivo!B28</f>
        <v>0</v>
      </c>
      <c r="C25" s="554"/>
      <c r="D25" s="893">
        <f>Efetivo!S28</f>
        <v>0</v>
      </c>
      <c r="E25" s="554"/>
      <c r="F25" s="560">
        <f>Efetivo!D28+Efetivo!AV28</f>
        <v>0</v>
      </c>
      <c r="G25" s="155"/>
      <c r="H25" s="160"/>
      <c r="I25" s="161"/>
      <c r="J25" s="162"/>
      <c r="K25" s="156"/>
      <c r="L25" s="560">
        <f>IF(Efetivo!BV28&gt;0,Efetivo!BV28,Efetivo!F28)</f>
        <v>0</v>
      </c>
      <c r="M25" s="557"/>
      <c r="N25" s="893">
        <f t="shared" si="26"/>
        <v>0</v>
      </c>
      <c r="O25" s="558"/>
      <c r="P25" s="893">
        <f t="shared" si="27"/>
        <v>0</v>
      </c>
      <c r="Q25" s="912">
        <f t="shared" si="28"/>
        <v>0</v>
      </c>
      <c r="R25" s="893">
        <f t="shared" si="29"/>
        <v>0</v>
      </c>
      <c r="S25" s="557"/>
      <c r="T25" s="894">
        <f t="shared" si="0"/>
        <v>0</v>
      </c>
      <c r="U25" s="161"/>
      <c r="V25" s="163"/>
      <c r="W25" s="156"/>
      <c r="X25" s="893">
        <f t="shared" si="1"/>
        <v>0</v>
      </c>
      <c r="Y25" s="557"/>
      <c r="Z25" s="893">
        <f t="shared" si="2"/>
        <v>0</v>
      </c>
      <c r="AB25" s="894">
        <f>Efetivo!D28+Efetivo!AV28</f>
        <v>0</v>
      </c>
      <c r="AC25" s="161"/>
      <c r="AD25" s="895"/>
      <c r="AE25" s="156"/>
      <c r="AF25" s="893">
        <f t="shared" si="3"/>
        <v>0</v>
      </c>
      <c r="AG25" s="557"/>
      <c r="AH25" s="893">
        <f t="shared" si="4"/>
        <v>0</v>
      </c>
      <c r="AJ25" s="894">
        <f t="shared" si="5"/>
        <v>0</v>
      </c>
      <c r="AK25" s="161"/>
      <c r="AL25" s="895"/>
      <c r="AM25" s="156"/>
      <c r="AN25" s="893">
        <f t="shared" si="6"/>
        <v>0</v>
      </c>
      <c r="AO25" s="557"/>
      <c r="AP25" s="893">
        <f t="shared" si="7"/>
        <v>0</v>
      </c>
      <c r="AR25" s="894">
        <f t="shared" si="8"/>
        <v>0</v>
      </c>
      <c r="AS25" s="161"/>
      <c r="AT25" s="895"/>
      <c r="AU25" s="156"/>
      <c r="AV25" s="893">
        <f t="shared" si="9"/>
        <v>0</v>
      </c>
      <c r="AW25" s="557"/>
      <c r="AX25" s="893">
        <f t="shared" si="10"/>
        <v>0</v>
      </c>
      <c r="AZ25" s="894">
        <f t="shared" si="11"/>
        <v>0</v>
      </c>
      <c r="BA25" s="161"/>
      <c r="BB25" s="895"/>
      <c r="BC25" s="558"/>
      <c r="BD25" s="893">
        <f t="shared" si="12"/>
        <v>0</v>
      </c>
      <c r="BF25" s="893">
        <f t="shared" si="13"/>
        <v>0</v>
      </c>
      <c r="BH25" s="894">
        <f t="shared" si="14"/>
        <v>0</v>
      </c>
      <c r="BI25" s="161"/>
      <c r="BJ25" s="895"/>
      <c r="BK25" s="156"/>
      <c r="BL25" s="893">
        <f t="shared" si="15"/>
        <v>0</v>
      </c>
      <c r="BM25" s="557"/>
      <c r="BN25" s="893">
        <f t="shared" si="16"/>
        <v>0</v>
      </c>
      <c r="BP25" s="894">
        <f t="shared" si="17"/>
        <v>0</v>
      </c>
      <c r="BQ25" s="161"/>
      <c r="BR25" s="895"/>
      <c r="BS25" s="156"/>
      <c r="BT25" s="893">
        <f t="shared" si="18"/>
        <v>0</v>
      </c>
      <c r="BU25" s="557"/>
      <c r="BV25" s="893">
        <f t="shared" si="19"/>
        <v>0</v>
      </c>
      <c r="BX25" s="845">
        <f t="shared" si="20"/>
        <v>0</v>
      </c>
      <c r="BY25" s="845">
        <f t="shared" si="21"/>
        <v>0</v>
      </c>
      <c r="BZ25" s="845">
        <f t="shared" si="22"/>
        <v>0</v>
      </c>
      <c r="CA25" s="845">
        <f t="shared" si="23"/>
        <v>0</v>
      </c>
      <c r="CB25" s="845">
        <f t="shared" si="24"/>
        <v>0</v>
      </c>
      <c r="CC25" s="845">
        <f t="shared" si="25"/>
        <v>0</v>
      </c>
    </row>
    <row r="26" spans="1:81" ht="12" hidden="1" customHeight="1">
      <c r="A26" s="134">
        <v>19</v>
      </c>
      <c r="B26" s="892">
        <f>Efetivo!B29</f>
        <v>0</v>
      </c>
      <c r="C26" s="554"/>
      <c r="D26" s="893">
        <f>Efetivo!S29</f>
        <v>0</v>
      </c>
      <c r="E26" s="554"/>
      <c r="F26" s="560">
        <f>Efetivo!D29+Efetivo!AV29</f>
        <v>0</v>
      </c>
      <c r="G26" s="155"/>
      <c r="H26" s="160"/>
      <c r="I26" s="161"/>
      <c r="J26" s="162"/>
      <c r="K26" s="156"/>
      <c r="L26" s="560">
        <f>IF(Efetivo!BV29&gt;0,Efetivo!BV29,Efetivo!F29)</f>
        <v>0</v>
      </c>
      <c r="M26" s="557"/>
      <c r="N26" s="893">
        <f t="shared" si="26"/>
        <v>0</v>
      </c>
      <c r="O26" s="558"/>
      <c r="P26" s="893">
        <f t="shared" si="27"/>
        <v>0</v>
      </c>
      <c r="Q26" s="912">
        <f t="shared" si="28"/>
        <v>0</v>
      </c>
      <c r="R26" s="893">
        <f t="shared" si="29"/>
        <v>0</v>
      </c>
      <c r="S26" s="557"/>
      <c r="T26" s="894">
        <f t="shared" si="0"/>
        <v>0</v>
      </c>
      <c r="U26" s="161"/>
      <c r="V26" s="163"/>
      <c r="W26" s="156"/>
      <c r="X26" s="893">
        <f t="shared" si="1"/>
        <v>0</v>
      </c>
      <c r="Y26" s="557"/>
      <c r="Z26" s="893">
        <f t="shared" si="2"/>
        <v>0</v>
      </c>
      <c r="AB26" s="894">
        <f>Efetivo!D29+Efetivo!AV29</f>
        <v>0</v>
      </c>
      <c r="AC26" s="161"/>
      <c r="AD26" s="895"/>
      <c r="AE26" s="156"/>
      <c r="AF26" s="893">
        <f t="shared" si="3"/>
        <v>0</v>
      </c>
      <c r="AG26" s="557"/>
      <c r="AH26" s="893">
        <f t="shared" si="4"/>
        <v>0</v>
      </c>
      <c r="AJ26" s="894">
        <f t="shared" si="5"/>
        <v>0</v>
      </c>
      <c r="AK26" s="161"/>
      <c r="AL26" s="895"/>
      <c r="AM26" s="156"/>
      <c r="AN26" s="893">
        <f t="shared" si="6"/>
        <v>0</v>
      </c>
      <c r="AO26" s="557"/>
      <c r="AP26" s="893">
        <f t="shared" si="7"/>
        <v>0</v>
      </c>
      <c r="AR26" s="894">
        <f t="shared" si="8"/>
        <v>0</v>
      </c>
      <c r="AS26" s="161"/>
      <c r="AT26" s="895"/>
      <c r="AU26" s="156"/>
      <c r="AV26" s="893">
        <f t="shared" si="9"/>
        <v>0</v>
      </c>
      <c r="AW26" s="557"/>
      <c r="AX26" s="893">
        <f t="shared" si="10"/>
        <v>0</v>
      </c>
      <c r="AZ26" s="894">
        <f t="shared" si="11"/>
        <v>0</v>
      </c>
      <c r="BA26" s="161"/>
      <c r="BB26" s="895"/>
      <c r="BC26" s="558"/>
      <c r="BD26" s="893">
        <f t="shared" si="12"/>
        <v>0</v>
      </c>
      <c r="BF26" s="893">
        <f t="shared" si="13"/>
        <v>0</v>
      </c>
      <c r="BH26" s="894">
        <f t="shared" si="14"/>
        <v>0</v>
      </c>
      <c r="BI26" s="161"/>
      <c r="BJ26" s="895"/>
      <c r="BK26" s="156"/>
      <c r="BL26" s="893">
        <f t="shared" si="15"/>
        <v>0</v>
      </c>
      <c r="BM26" s="557"/>
      <c r="BN26" s="893">
        <f t="shared" si="16"/>
        <v>0</v>
      </c>
      <c r="BP26" s="894">
        <f t="shared" si="17"/>
        <v>0</v>
      </c>
      <c r="BQ26" s="161"/>
      <c r="BR26" s="895"/>
      <c r="BS26" s="156"/>
      <c r="BT26" s="893">
        <f t="shared" si="18"/>
        <v>0</v>
      </c>
      <c r="BU26" s="557"/>
      <c r="BV26" s="893">
        <f t="shared" si="19"/>
        <v>0</v>
      </c>
      <c r="BX26" s="845">
        <f t="shared" si="20"/>
        <v>0</v>
      </c>
      <c r="BY26" s="845">
        <f t="shared" si="21"/>
        <v>0</v>
      </c>
      <c r="BZ26" s="845">
        <f t="shared" si="22"/>
        <v>0</v>
      </c>
      <c r="CA26" s="845">
        <f t="shared" si="23"/>
        <v>0</v>
      </c>
      <c r="CB26" s="845">
        <f t="shared" si="24"/>
        <v>0</v>
      </c>
      <c r="CC26" s="845">
        <f t="shared" si="25"/>
        <v>0</v>
      </c>
    </row>
    <row r="27" spans="1:81" ht="12" hidden="1" customHeight="1">
      <c r="A27" s="134">
        <v>20</v>
      </c>
      <c r="B27" s="892">
        <f>Efetivo!B30</f>
        <v>0</v>
      </c>
      <c r="C27" s="554"/>
      <c r="D27" s="893">
        <f>Efetivo!S30</f>
        <v>0</v>
      </c>
      <c r="E27" s="554"/>
      <c r="F27" s="560">
        <f>Efetivo!D30+Efetivo!AV30</f>
        <v>0</v>
      </c>
      <c r="G27" s="155"/>
      <c r="H27" s="160"/>
      <c r="I27" s="161"/>
      <c r="J27" s="162"/>
      <c r="K27" s="156"/>
      <c r="L27" s="560">
        <f>IF(Efetivo!BV30&gt;0,Efetivo!BV30,Efetivo!F30)</f>
        <v>0</v>
      </c>
      <c r="M27" s="557"/>
      <c r="N27" s="893">
        <f t="shared" si="26"/>
        <v>0</v>
      </c>
      <c r="O27" s="558"/>
      <c r="P27" s="893">
        <f t="shared" si="27"/>
        <v>0</v>
      </c>
      <c r="Q27" s="912">
        <f t="shared" si="28"/>
        <v>0</v>
      </c>
      <c r="R27" s="893">
        <f t="shared" si="29"/>
        <v>0</v>
      </c>
      <c r="S27" s="557"/>
      <c r="T27" s="894">
        <f t="shared" si="0"/>
        <v>0</v>
      </c>
      <c r="U27" s="161"/>
      <c r="V27" s="163"/>
      <c r="W27" s="156"/>
      <c r="X27" s="893">
        <f t="shared" si="1"/>
        <v>0</v>
      </c>
      <c r="Y27" s="557"/>
      <c r="Z27" s="893">
        <f t="shared" si="2"/>
        <v>0</v>
      </c>
      <c r="AB27" s="894">
        <f>Efetivo!D30+Efetivo!AV30</f>
        <v>0</v>
      </c>
      <c r="AC27" s="161"/>
      <c r="AD27" s="895"/>
      <c r="AE27" s="156"/>
      <c r="AF27" s="893">
        <f t="shared" si="3"/>
        <v>0</v>
      </c>
      <c r="AG27" s="557"/>
      <c r="AH27" s="893">
        <f t="shared" si="4"/>
        <v>0</v>
      </c>
      <c r="AJ27" s="894">
        <f t="shared" si="5"/>
        <v>0</v>
      </c>
      <c r="AK27" s="161"/>
      <c r="AL27" s="895"/>
      <c r="AM27" s="156"/>
      <c r="AN27" s="893">
        <f t="shared" si="6"/>
        <v>0</v>
      </c>
      <c r="AO27" s="557"/>
      <c r="AP27" s="893">
        <f t="shared" si="7"/>
        <v>0</v>
      </c>
      <c r="AR27" s="894">
        <f t="shared" si="8"/>
        <v>0</v>
      </c>
      <c r="AS27" s="161"/>
      <c r="AT27" s="895"/>
      <c r="AU27" s="156"/>
      <c r="AV27" s="893">
        <f t="shared" si="9"/>
        <v>0</v>
      </c>
      <c r="AW27" s="557"/>
      <c r="AX27" s="893">
        <f t="shared" si="10"/>
        <v>0</v>
      </c>
      <c r="AZ27" s="894">
        <f t="shared" si="11"/>
        <v>0</v>
      </c>
      <c r="BA27" s="161"/>
      <c r="BB27" s="895"/>
      <c r="BC27" s="558"/>
      <c r="BD27" s="893">
        <f t="shared" si="12"/>
        <v>0</v>
      </c>
      <c r="BF27" s="893">
        <f t="shared" si="13"/>
        <v>0</v>
      </c>
      <c r="BH27" s="894">
        <f t="shared" si="14"/>
        <v>0</v>
      </c>
      <c r="BI27" s="161"/>
      <c r="BJ27" s="895"/>
      <c r="BK27" s="156"/>
      <c r="BL27" s="893">
        <f t="shared" si="15"/>
        <v>0</v>
      </c>
      <c r="BM27" s="557"/>
      <c r="BN27" s="893">
        <f t="shared" si="16"/>
        <v>0</v>
      </c>
      <c r="BP27" s="894">
        <f t="shared" si="17"/>
        <v>0</v>
      </c>
      <c r="BQ27" s="161"/>
      <c r="BR27" s="895"/>
      <c r="BS27" s="156"/>
      <c r="BT27" s="893">
        <f t="shared" si="18"/>
        <v>0</v>
      </c>
      <c r="BU27" s="557"/>
      <c r="BV27" s="893">
        <f t="shared" si="19"/>
        <v>0</v>
      </c>
      <c r="BX27" s="845">
        <f t="shared" si="20"/>
        <v>0</v>
      </c>
      <c r="BY27" s="845">
        <f t="shared" si="21"/>
        <v>0</v>
      </c>
      <c r="BZ27" s="845">
        <f t="shared" si="22"/>
        <v>0</v>
      </c>
      <c r="CA27" s="845">
        <f t="shared" si="23"/>
        <v>0</v>
      </c>
      <c r="CB27" s="845">
        <f t="shared" si="24"/>
        <v>0</v>
      </c>
      <c r="CC27" s="845">
        <f t="shared" si="25"/>
        <v>0</v>
      </c>
    </row>
    <row r="28" spans="1:81" ht="12" hidden="1" customHeight="1">
      <c r="A28" s="134">
        <v>21</v>
      </c>
      <c r="B28" s="892">
        <f>Efetivo!B31</f>
        <v>0</v>
      </c>
      <c r="C28" s="554"/>
      <c r="D28" s="893">
        <f>Efetivo!S31</f>
        <v>0</v>
      </c>
      <c r="E28" s="554"/>
      <c r="F28" s="560">
        <f>Efetivo!D31+Efetivo!AV31</f>
        <v>0</v>
      </c>
      <c r="G28" s="155"/>
      <c r="H28" s="160"/>
      <c r="I28" s="161"/>
      <c r="J28" s="162"/>
      <c r="K28" s="156"/>
      <c r="L28" s="560">
        <f>IF(Efetivo!BV31&gt;0,Efetivo!BV31,Efetivo!F31)</f>
        <v>0</v>
      </c>
      <c r="M28" s="557"/>
      <c r="N28" s="893">
        <f t="shared" si="26"/>
        <v>0</v>
      </c>
      <c r="O28" s="558"/>
      <c r="P28" s="893">
        <f t="shared" si="27"/>
        <v>0</v>
      </c>
      <c r="Q28" s="912">
        <f t="shared" si="28"/>
        <v>0</v>
      </c>
      <c r="R28" s="893">
        <f t="shared" si="29"/>
        <v>0</v>
      </c>
      <c r="S28" s="557"/>
      <c r="T28" s="894">
        <f t="shared" si="0"/>
        <v>0</v>
      </c>
      <c r="U28" s="161"/>
      <c r="V28" s="163"/>
      <c r="W28" s="156"/>
      <c r="X28" s="893">
        <f t="shared" si="1"/>
        <v>0</v>
      </c>
      <c r="Y28" s="557"/>
      <c r="Z28" s="893">
        <f t="shared" si="2"/>
        <v>0</v>
      </c>
      <c r="AB28" s="894">
        <f>Efetivo!D31+Efetivo!AV31</f>
        <v>0</v>
      </c>
      <c r="AC28" s="161"/>
      <c r="AD28" s="895"/>
      <c r="AE28" s="156"/>
      <c r="AF28" s="893">
        <f t="shared" si="3"/>
        <v>0</v>
      </c>
      <c r="AG28" s="557"/>
      <c r="AH28" s="893">
        <f t="shared" si="4"/>
        <v>0</v>
      </c>
      <c r="AJ28" s="894">
        <f t="shared" si="5"/>
        <v>0</v>
      </c>
      <c r="AK28" s="161"/>
      <c r="AL28" s="895"/>
      <c r="AM28" s="156"/>
      <c r="AN28" s="893">
        <f t="shared" si="6"/>
        <v>0</v>
      </c>
      <c r="AO28" s="557"/>
      <c r="AP28" s="893">
        <f t="shared" si="7"/>
        <v>0</v>
      </c>
      <c r="AR28" s="894">
        <f t="shared" si="8"/>
        <v>0</v>
      </c>
      <c r="AS28" s="161"/>
      <c r="AT28" s="895"/>
      <c r="AU28" s="156"/>
      <c r="AV28" s="893">
        <f t="shared" si="9"/>
        <v>0</v>
      </c>
      <c r="AW28" s="557"/>
      <c r="AX28" s="893">
        <f t="shared" si="10"/>
        <v>0</v>
      </c>
      <c r="AZ28" s="894">
        <f t="shared" si="11"/>
        <v>0</v>
      </c>
      <c r="BA28" s="161"/>
      <c r="BB28" s="895"/>
      <c r="BC28" s="558"/>
      <c r="BD28" s="893">
        <f t="shared" si="12"/>
        <v>0</v>
      </c>
      <c r="BF28" s="893">
        <f t="shared" si="13"/>
        <v>0</v>
      </c>
      <c r="BH28" s="894">
        <f t="shared" si="14"/>
        <v>0</v>
      </c>
      <c r="BI28" s="161"/>
      <c r="BJ28" s="895"/>
      <c r="BK28" s="156"/>
      <c r="BL28" s="893">
        <f t="shared" si="15"/>
        <v>0</v>
      </c>
      <c r="BM28" s="557"/>
      <c r="BN28" s="893">
        <f t="shared" si="16"/>
        <v>0</v>
      </c>
      <c r="BP28" s="894">
        <f t="shared" si="17"/>
        <v>0</v>
      </c>
      <c r="BQ28" s="161"/>
      <c r="BR28" s="895"/>
      <c r="BS28" s="156"/>
      <c r="BT28" s="893">
        <f t="shared" si="18"/>
        <v>0</v>
      </c>
      <c r="BU28" s="557"/>
      <c r="BV28" s="893">
        <f t="shared" si="19"/>
        <v>0</v>
      </c>
      <c r="BX28" s="845">
        <f t="shared" si="20"/>
        <v>0</v>
      </c>
      <c r="BY28" s="845">
        <f t="shared" si="21"/>
        <v>0</v>
      </c>
      <c r="BZ28" s="845">
        <f t="shared" si="22"/>
        <v>0</v>
      </c>
      <c r="CA28" s="845">
        <f t="shared" si="23"/>
        <v>0</v>
      </c>
      <c r="CB28" s="845">
        <f t="shared" si="24"/>
        <v>0</v>
      </c>
      <c r="CC28" s="845">
        <f t="shared" si="25"/>
        <v>0</v>
      </c>
    </row>
    <row r="29" spans="1:81" ht="12" hidden="1" customHeight="1">
      <c r="A29" s="134">
        <v>22</v>
      </c>
      <c r="B29" s="892">
        <f>Efetivo!B32</f>
        <v>0</v>
      </c>
      <c r="C29" s="554"/>
      <c r="D29" s="893">
        <f>Efetivo!S32</f>
        <v>0</v>
      </c>
      <c r="E29" s="554"/>
      <c r="F29" s="560">
        <f>Efetivo!D32+Efetivo!AV32</f>
        <v>0</v>
      </c>
      <c r="G29" s="155"/>
      <c r="H29" s="160"/>
      <c r="I29" s="161"/>
      <c r="J29" s="162"/>
      <c r="K29" s="156"/>
      <c r="L29" s="560">
        <f>IF(Efetivo!BV32&gt;0,Efetivo!BV32,Efetivo!F32)</f>
        <v>0</v>
      </c>
      <c r="M29" s="557"/>
      <c r="N29" s="893">
        <f t="shared" si="26"/>
        <v>0</v>
      </c>
      <c r="O29" s="558"/>
      <c r="P29" s="893">
        <f t="shared" si="27"/>
        <v>0</v>
      </c>
      <c r="Q29" s="912">
        <f t="shared" si="28"/>
        <v>0</v>
      </c>
      <c r="R29" s="893">
        <f t="shared" si="29"/>
        <v>0</v>
      </c>
      <c r="S29" s="557"/>
      <c r="T29" s="894">
        <f t="shared" si="0"/>
        <v>0</v>
      </c>
      <c r="U29" s="161"/>
      <c r="V29" s="163"/>
      <c r="W29" s="156"/>
      <c r="X29" s="893">
        <f t="shared" si="1"/>
        <v>0</v>
      </c>
      <c r="Y29" s="557"/>
      <c r="Z29" s="893">
        <f t="shared" si="2"/>
        <v>0</v>
      </c>
      <c r="AB29" s="894">
        <f>Efetivo!D32+Efetivo!AV32</f>
        <v>0</v>
      </c>
      <c r="AC29" s="161"/>
      <c r="AD29" s="895"/>
      <c r="AE29" s="156"/>
      <c r="AF29" s="893">
        <f t="shared" si="3"/>
        <v>0</v>
      </c>
      <c r="AG29" s="557"/>
      <c r="AH29" s="893">
        <f t="shared" si="4"/>
        <v>0</v>
      </c>
      <c r="AJ29" s="894">
        <f t="shared" si="5"/>
        <v>0</v>
      </c>
      <c r="AK29" s="161"/>
      <c r="AL29" s="895"/>
      <c r="AM29" s="156"/>
      <c r="AN29" s="893">
        <f t="shared" si="6"/>
        <v>0</v>
      </c>
      <c r="AO29" s="557"/>
      <c r="AP29" s="893">
        <f t="shared" si="7"/>
        <v>0</v>
      </c>
      <c r="AR29" s="894">
        <f t="shared" si="8"/>
        <v>0</v>
      </c>
      <c r="AS29" s="161"/>
      <c r="AT29" s="895"/>
      <c r="AU29" s="156"/>
      <c r="AV29" s="893">
        <f t="shared" si="9"/>
        <v>0</v>
      </c>
      <c r="AW29" s="557"/>
      <c r="AX29" s="893">
        <f t="shared" si="10"/>
        <v>0</v>
      </c>
      <c r="AZ29" s="894">
        <f t="shared" si="11"/>
        <v>0</v>
      </c>
      <c r="BA29" s="161"/>
      <c r="BB29" s="895"/>
      <c r="BC29" s="558"/>
      <c r="BD29" s="893">
        <f t="shared" si="12"/>
        <v>0</v>
      </c>
      <c r="BF29" s="893">
        <f t="shared" si="13"/>
        <v>0</v>
      </c>
      <c r="BH29" s="894">
        <f t="shared" si="14"/>
        <v>0</v>
      </c>
      <c r="BI29" s="161"/>
      <c r="BJ29" s="895"/>
      <c r="BK29" s="156"/>
      <c r="BL29" s="893">
        <f t="shared" si="15"/>
        <v>0</v>
      </c>
      <c r="BM29" s="557"/>
      <c r="BN29" s="893">
        <f t="shared" si="16"/>
        <v>0</v>
      </c>
      <c r="BP29" s="894">
        <f t="shared" si="17"/>
        <v>0</v>
      </c>
      <c r="BQ29" s="161"/>
      <c r="BR29" s="895"/>
      <c r="BS29" s="156"/>
      <c r="BT29" s="893">
        <f t="shared" si="18"/>
        <v>0</v>
      </c>
      <c r="BU29" s="557"/>
      <c r="BV29" s="893">
        <f t="shared" si="19"/>
        <v>0</v>
      </c>
      <c r="BX29" s="845">
        <f t="shared" si="20"/>
        <v>0</v>
      </c>
      <c r="BY29" s="845">
        <f t="shared" si="21"/>
        <v>0</v>
      </c>
      <c r="BZ29" s="845">
        <f t="shared" si="22"/>
        <v>0</v>
      </c>
      <c r="CA29" s="845">
        <f t="shared" si="23"/>
        <v>0</v>
      </c>
      <c r="CB29" s="845">
        <f t="shared" si="24"/>
        <v>0</v>
      </c>
      <c r="CC29" s="845">
        <f t="shared" si="25"/>
        <v>0</v>
      </c>
    </row>
    <row r="30" spans="1:81" ht="12" hidden="1" customHeight="1">
      <c r="A30" s="134">
        <v>23</v>
      </c>
      <c r="B30" s="892">
        <f>Efetivo!B33</f>
        <v>0</v>
      </c>
      <c r="C30" s="554"/>
      <c r="D30" s="893">
        <f>Efetivo!S33</f>
        <v>0</v>
      </c>
      <c r="E30" s="554"/>
      <c r="F30" s="560">
        <f>Efetivo!D33+Efetivo!AV33</f>
        <v>0</v>
      </c>
      <c r="G30" s="155"/>
      <c r="H30" s="160"/>
      <c r="I30" s="161"/>
      <c r="J30" s="162"/>
      <c r="K30" s="156"/>
      <c r="L30" s="560">
        <f>IF(Efetivo!BV33&gt;0,Efetivo!BV33,Efetivo!F33)</f>
        <v>0</v>
      </c>
      <c r="M30" s="557"/>
      <c r="N30" s="893">
        <f t="shared" si="26"/>
        <v>0</v>
      </c>
      <c r="O30" s="558"/>
      <c r="P30" s="893">
        <f t="shared" si="27"/>
        <v>0</v>
      </c>
      <c r="Q30" s="912">
        <f t="shared" si="28"/>
        <v>0</v>
      </c>
      <c r="R30" s="893">
        <f t="shared" si="29"/>
        <v>0</v>
      </c>
      <c r="S30" s="557"/>
      <c r="T30" s="894">
        <f t="shared" si="0"/>
        <v>0</v>
      </c>
      <c r="U30" s="161"/>
      <c r="V30" s="163"/>
      <c r="W30" s="156"/>
      <c r="X30" s="893">
        <f t="shared" si="1"/>
        <v>0</v>
      </c>
      <c r="Y30" s="557"/>
      <c r="Z30" s="893">
        <f t="shared" si="2"/>
        <v>0</v>
      </c>
      <c r="AB30" s="894">
        <f>Efetivo!D33+Efetivo!AV33</f>
        <v>0</v>
      </c>
      <c r="AC30" s="161"/>
      <c r="AD30" s="895"/>
      <c r="AE30" s="156"/>
      <c r="AF30" s="893">
        <f t="shared" si="3"/>
        <v>0</v>
      </c>
      <c r="AG30" s="557"/>
      <c r="AH30" s="893">
        <f t="shared" si="4"/>
        <v>0</v>
      </c>
      <c r="AJ30" s="894">
        <f t="shared" si="5"/>
        <v>0</v>
      </c>
      <c r="AK30" s="161"/>
      <c r="AL30" s="895"/>
      <c r="AM30" s="156"/>
      <c r="AN30" s="893">
        <f t="shared" si="6"/>
        <v>0</v>
      </c>
      <c r="AO30" s="557"/>
      <c r="AP30" s="893">
        <f t="shared" si="7"/>
        <v>0</v>
      </c>
      <c r="AR30" s="894">
        <f t="shared" si="8"/>
        <v>0</v>
      </c>
      <c r="AS30" s="161"/>
      <c r="AT30" s="895"/>
      <c r="AU30" s="156"/>
      <c r="AV30" s="893">
        <f t="shared" si="9"/>
        <v>0</v>
      </c>
      <c r="AW30" s="557"/>
      <c r="AX30" s="893">
        <f t="shared" si="10"/>
        <v>0</v>
      </c>
      <c r="AZ30" s="894">
        <f t="shared" si="11"/>
        <v>0</v>
      </c>
      <c r="BA30" s="161"/>
      <c r="BB30" s="895"/>
      <c r="BC30" s="558"/>
      <c r="BD30" s="893">
        <f t="shared" si="12"/>
        <v>0</v>
      </c>
      <c r="BF30" s="893">
        <f t="shared" si="13"/>
        <v>0</v>
      </c>
      <c r="BH30" s="894">
        <f t="shared" si="14"/>
        <v>0</v>
      </c>
      <c r="BI30" s="161"/>
      <c r="BJ30" s="895"/>
      <c r="BK30" s="156"/>
      <c r="BL30" s="893">
        <f t="shared" si="15"/>
        <v>0</v>
      </c>
      <c r="BM30" s="557"/>
      <c r="BN30" s="893">
        <f t="shared" si="16"/>
        <v>0</v>
      </c>
      <c r="BP30" s="894">
        <f t="shared" si="17"/>
        <v>0</v>
      </c>
      <c r="BQ30" s="161"/>
      <c r="BR30" s="895"/>
      <c r="BS30" s="156"/>
      <c r="BT30" s="893">
        <f t="shared" si="18"/>
        <v>0</v>
      </c>
      <c r="BU30" s="557"/>
      <c r="BV30" s="893">
        <f t="shared" si="19"/>
        <v>0</v>
      </c>
      <c r="BX30" s="845">
        <f t="shared" si="20"/>
        <v>0</v>
      </c>
      <c r="BY30" s="845">
        <f t="shared" si="21"/>
        <v>0</v>
      </c>
      <c r="BZ30" s="845">
        <f t="shared" si="22"/>
        <v>0</v>
      </c>
      <c r="CA30" s="845">
        <f t="shared" si="23"/>
        <v>0</v>
      </c>
      <c r="CB30" s="845">
        <f t="shared" si="24"/>
        <v>0</v>
      </c>
      <c r="CC30" s="845">
        <f t="shared" si="25"/>
        <v>0</v>
      </c>
    </row>
    <row r="31" spans="1:81" ht="12" hidden="1" customHeight="1">
      <c r="A31" s="134">
        <v>24</v>
      </c>
      <c r="B31" s="892">
        <f>Efetivo!B34</f>
        <v>0</v>
      </c>
      <c r="C31" s="554"/>
      <c r="D31" s="893">
        <f>Efetivo!S34</f>
        <v>0</v>
      </c>
      <c r="E31" s="554"/>
      <c r="F31" s="560">
        <f>Efetivo!D34+Efetivo!AV34</f>
        <v>0</v>
      </c>
      <c r="G31" s="155"/>
      <c r="H31" s="160"/>
      <c r="I31" s="161"/>
      <c r="J31" s="162"/>
      <c r="K31" s="156"/>
      <c r="L31" s="560">
        <f>IF(Efetivo!BV34&gt;0,Efetivo!BV34,Efetivo!F34)</f>
        <v>0</v>
      </c>
      <c r="M31" s="557"/>
      <c r="N31" s="893">
        <f t="shared" si="26"/>
        <v>0</v>
      </c>
      <c r="O31" s="558"/>
      <c r="P31" s="893">
        <f t="shared" si="27"/>
        <v>0</v>
      </c>
      <c r="Q31" s="912">
        <f t="shared" si="28"/>
        <v>0</v>
      </c>
      <c r="R31" s="893">
        <f t="shared" si="29"/>
        <v>0</v>
      </c>
      <c r="S31" s="557"/>
      <c r="T31" s="894">
        <f t="shared" si="0"/>
        <v>0</v>
      </c>
      <c r="U31" s="161"/>
      <c r="V31" s="163"/>
      <c r="W31" s="156"/>
      <c r="X31" s="893">
        <f t="shared" si="1"/>
        <v>0</v>
      </c>
      <c r="Y31" s="557"/>
      <c r="Z31" s="893">
        <f t="shared" si="2"/>
        <v>0</v>
      </c>
      <c r="AB31" s="894">
        <f>Efetivo!D34+Efetivo!AV34</f>
        <v>0</v>
      </c>
      <c r="AC31" s="161"/>
      <c r="AD31" s="895"/>
      <c r="AE31" s="156"/>
      <c r="AF31" s="893">
        <f t="shared" si="3"/>
        <v>0</v>
      </c>
      <c r="AG31" s="557"/>
      <c r="AH31" s="893">
        <f t="shared" si="4"/>
        <v>0</v>
      </c>
      <c r="AJ31" s="894">
        <f t="shared" si="5"/>
        <v>0</v>
      </c>
      <c r="AK31" s="161"/>
      <c r="AL31" s="895"/>
      <c r="AM31" s="156"/>
      <c r="AN31" s="893">
        <f t="shared" si="6"/>
        <v>0</v>
      </c>
      <c r="AO31" s="557"/>
      <c r="AP31" s="893">
        <f t="shared" si="7"/>
        <v>0</v>
      </c>
      <c r="AR31" s="894">
        <f t="shared" si="8"/>
        <v>0</v>
      </c>
      <c r="AS31" s="161"/>
      <c r="AT31" s="895"/>
      <c r="AU31" s="156"/>
      <c r="AV31" s="893">
        <f t="shared" si="9"/>
        <v>0</v>
      </c>
      <c r="AW31" s="557"/>
      <c r="AX31" s="893">
        <f t="shared" si="10"/>
        <v>0</v>
      </c>
      <c r="AZ31" s="894">
        <f t="shared" si="11"/>
        <v>0</v>
      </c>
      <c r="BA31" s="161"/>
      <c r="BB31" s="895"/>
      <c r="BC31" s="558"/>
      <c r="BD31" s="893">
        <f t="shared" si="12"/>
        <v>0</v>
      </c>
      <c r="BF31" s="893">
        <f t="shared" si="13"/>
        <v>0</v>
      </c>
      <c r="BH31" s="894">
        <f t="shared" si="14"/>
        <v>0</v>
      </c>
      <c r="BI31" s="161"/>
      <c r="BJ31" s="895"/>
      <c r="BK31" s="156"/>
      <c r="BL31" s="893">
        <f t="shared" si="15"/>
        <v>0</v>
      </c>
      <c r="BM31" s="557"/>
      <c r="BN31" s="893">
        <f t="shared" si="16"/>
        <v>0</v>
      </c>
      <c r="BP31" s="894">
        <f t="shared" si="17"/>
        <v>0</v>
      </c>
      <c r="BQ31" s="161"/>
      <c r="BR31" s="895"/>
      <c r="BS31" s="156"/>
      <c r="BT31" s="893">
        <f t="shared" si="18"/>
        <v>0</v>
      </c>
      <c r="BU31" s="557"/>
      <c r="BV31" s="893">
        <f t="shared" si="19"/>
        <v>0</v>
      </c>
      <c r="BX31" s="845">
        <f t="shared" si="20"/>
        <v>0</v>
      </c>
      <c r="BY31" s="845">
        <f t="shared" si="21"/>
        <v>0</v>
      </c>
      <c r="BZ31" s="845">
        <f t="shared" si="22"/>
        <v>0</v>
      </c>
      <c r="CA31" s="845">
        <f t="shared" si="23"/>
        <v>0</v>
      </c>
      <c r="CB31" s="845">
        <f t="shared" si="24"/>
        <v>0</v>
      </c>
      <c r="CC31" s="845">
        <f t="shared" si="25"/>
        <v>0</v>
      </c>
    </row>
    <row r="32" spans="1:81" ht="12" hidden="1" customHeight="1">
      <c r="A32" s="134">
        <v>25</v>
      </c>
      <c r="B32" s="892">
        <f>Efetivo!B35</f>
        <v>0</v>
      </c>
      <c r="C32" s="554"/>
      <c r="D32" s="893">
        <f>Efetivo!S35</f>
        <v>0</v>
      </c>
      <c r="E32" s="554"/>
      <c r="F32" s="560">
        <f>Efetivo!D35+Efetivo!AV35</f>
        <v>0</v>
      </c>
      <c r="G32" s="155"/>
      <c r="H32" s="160"/>
      <c r="I32" s="161"/>
      <c r="J32" s="162"/>
      <c r="K32" s="156"/>
      <c r="L32" s="560">
        <f>IF(Efetivo!BV35&gt;0,Efetivo!BV35,Efetivo!F35)</f>
        <v>0</v>
      </c>
      <c r="M32" s="557"/>
      <c r="N32" s="893">
        <f t="shared" si="26"/>
        <v>0</v>
      </c>
      <c r="O32" s="558"/>
      <c r="P32" s="893">
        <f t="shared" si="27"/>
        <v>0</v>
      </c>
      <c r="Q32" s="912">
        <f t="shared" si="28"/>
        <v>0</v>
      </c>
      <c r="R32" s="893">
        <f t="shared" si="29"/>
        <v>0</v>
      </c>
      <c r="S32" s="557"/>
      <c r="T32" s="894">
        <f t="shared" si="0"/>
        <v>0</v>
      </c>
      <c r="U32" s="161"/>
      <c r="V32" s="163"/>
      <c r="W32" s="156"/>
      <c r="X32" s="893">
        <f t="shared" si="1"/>
        <v>0</v>
      </c>
      <c r="Y32" s="557"/>
      <c r="Z32" s="893">
        <f t="shared" si="2"/>
        <v>0</v>
      </c>
      <c r="AB32" s="894">
        <f>Efetivo!D35+Efetivo!AV35</f>
        <v>0</v>
      </c>
      <c r="AC32" s="161"/>
      <c r="AD32" s="895"/>
      <c r="AE32" s="156"/>
      <c r="AF32" s="893">
        <f t="shared" si="3"/>
        <v>0</v>
      </c>
      <c r="AG32" s="557"/>
      <c r="AH32" s="893">
        <f t="shared" si="4"/>
        <v>0</v>
      </c>
      <c r="AJ32" s="894">
        <f t="shared" si="5"/>
        <v>0</v>
      </c>
      <c r="AK32" s="161"/>
      <c r="AL32" s="895"/>
      <c r="AM32" s="156"/>
      <c r="AN32" s="893">
        <f t="shared" si="6"/>
        <v>0</v>
      </c>
      <c r="AO32" s="557"/>
      <c r="AP32" s="893">
        <f t="shared" si="7"/>
        <v>0</v>
      </c>
      <c r="AR32" s="894">
        <f t="shared" si="8"/>
        <v>0</v>
      </c>
      <c r="AS32" s="161"/>
      <c r="AT32" s="895"/>
      <c r="AU32" s="156"/>
      <c r="AV32" s="893">
        <f t="shared" si="9"/>
        <v>0</v>
      </c>
      <c r="AW32" s="557"/>
      <c r="AX32" s="893">
        <f t="shared" si="10"/>
        <v>0</v>
      </c>
      <c r="AZ32" s="894">
        <f t="shared" si="11"/>
        <v>0</v>
      </c>
      <c r="BA32" s="161"/>
      <c r="BB32" s="895"/>
      <c r="BC32" s="558"/>
      <c r="BD32" s="893">
        <f t="shared" si="12"/>
        <v>0</v>
      </c>
      <c r="BF32" s="893">
        <f t="shared" si="13"/>
        <v>0</v>
      </c>
      <c r="BH32" s="894">
        <f t="shared" si="14"/>
        <v>0</v>
      </c>
      <c r="BI32" s="161"/>
      <c r="BJ32" s="895"/>
      <c r="BK32" s="156"/>
      <c r="BL32" s="893">
        <f t="shared" si="15"/>
        <v>0</v>
      </c>
      <c r="BM32" s="557"/>
      <c r="BN32" s="893">
        <f t="shared" si="16"/>
        <v>0</v>
      </c>
      <c r="BP32" s="894">
        <f t="shared" si="17"/>
        <v>0</v>
      </c>
      <c r="BQ32" s="161"/>
      <c r="BR32" s="895"/>
      <c r="BS32" s="156"/>
      <c r="BT32" s="893">
        <f t="shared" si="18"/>
        <v>0</v>
      </c>
      <c r="BU32" s="557"/>
      <c r="BV32" s="893">
        <f t="shared" si="19"/>
        <v>0</v>
      </c>
      <c r="BX32" s="845">
        <f t="shared" si="20"/>
        <v>0</v>
      </c>
      <c r="BY32" s="845">
        <f t="shared" si="21"/>
        <v>0</v>
      </c>
      <c r="BZ32" s="845">
        <f t="shared" si="22"/>
        <v>0</v>
      </c>
      <c r="CA32" s="845">
        <f t="shared" si="23"/>
        <v>0</v>
      </c>
      <c r="CB32" s="845">
        <f t="shared" si="24"/>
        <v>0</v>
      </c>
      <c r="CC32" s="845">
        <f t="shared" si="25"/>
        <v>0</v>
      </c>
    </row>
    <row r="33" spans="1:81" ht="12" hidden="1" customHeight="1">
      <c r="A33" s="134">
        <v>26</v>
      </c>
      <c r="B33" s="892">
        <f>Efetivo!B36</f>
        <v>0</v>
      </c>
      <c r="C33" s="554"/>
      <c r="D33" s="893">
        <f>Efetivo!S36</f>
        <v>0</v>
      </c>
      <c r="E33" s="554"/>
      <c r="F33" s="560">
        <f>Efetivo!D36+Efetivo!AV36</f>
        <v>0</v>
      </c>
      <c r="G33" s="155"/>
      <c r="H33" s="160"/>
      <c r="I33" s="161"/>
      <c r="J33" s="162"/>
      <c r="K33" s="156"/>
      <c r="L33" s="560">
        <f>IF(Efetivo!BV36&gt;0,Efetivo!BV36,Efetivo!F36)</f>
        <v>0</v>
      </c>
      <c r="M33" s="557"/>
      <c r="N33" s="893">
        <f t="shared" si="26"/>
        <v>0</v>
      </c>
      <c r="O33" s="558"/>
      <c r="P33" s="893">
        <f t="shared" si="27"/>
        <v>0</v>
      </c>
      <c r="Q33" s="912">
        <f t="shared" si="28"/>
        <v>0</v>
      </c>
      <c r="R33" s="893">
        <f t="shared" si="29"/>
        <v>0</v>
      </c>
      <c r="S33" s="557"/>
      <c r="T33" s="894">
        <f t="shared" si="0"/>
        <v>0</v>
      </c>
      <c r="U33" s="161"/>
      <c r="V33" s="163"/>
      <c r="W33" s="156"/>
      <c r="X33" s="893">
        <f t="shared" si="1"/>
        <v>0</v>
      </c>
      <c r="Y33" s="557"/>
      <c r="Z33" s="893">
        <f t="shared" si="2"/>
        <v>0</v>
      </c>
      <c r="AB33" s="894">
        <f>Efetivo!D36+Efetivo!AV36</f>
        <v>0</v>
      </c>
      <c r="AC33" s="161"/>
      <c r="AD33" s="895"/>
      <c r="AE33" s="156"/>
      <c r="AF33" s="893">
        <f t="shared" si="3"/>
        <v>0</v>
      </c>
      <c r="AG33" s="557"/>
      <c r="AH33" s="893">
        <f t="shared" si="4"/>
        <v>0</v>
      </c>
      <c r="AJ33" s="894">
        <f t="shared" si="5"/>
        <v>0</v>
      </c>
      <c r="AK33" s="161"/>
      <c r="AL33" s="895"/>
      <c r="AM33" s="156"/>
      <c r="AN33" s="893">
        <f t="shared" si="6"/>
        <v>0</v>
      </c>
      <c r="AO33" s="557"/>
      <c r="AP33" s="893">
        <f t="shared" si="7"/>
        <v>0</v>
      </c>
      <c r="AR33" s="894">
        <f t="shared" si="8"/>
        <v>0</v>
      </c>
      <c r="AS33" s="161"/>
      <c r="AT33" s="895"/>
      <c r="AU33" s="156"/>
      <c r="AV33" s="893">
        <f t="shared" si="9"/>
        <v>0</v>
      </c>
      <c r="AW33" s="557"/>
      <c r="AX33" s="893">
        <f t="shared" si="10"/>
        <v>0</v>
      </c>
      <c r="AZ33" s="894">
        <f t="shared" si="11"/>
        <v>0</v>
      </c>
      <c r="BA33" s="161"/>
      <c r="BB33" s="895"/>
      <c r="BC33" s="558"/>
      <c r="BD33" s="893">
        <f t="shared" si="12"/>
        <v>0</v>
      </c>
      <c r="BF33" s="893">
        <f t="shared" si="13"/>
        <v>0</v>
      </c>
      <c r="BH33" s="894">
        <f t="shared" si="14"/>
        <v>0</v>
      </c>
      <c r="BI33" s="161"/>
      <c r="BJ33" s="895"/>
      <c r="BK33" s="156"/>
      <c r="BL33" s="893">
        <f t="shared" si="15"/>
        <v>0</v>
      </c>
      <c r="BM33" s="557"/>
      <c r="BN33" s="893">
        <f t="shared" si="16"/>
        <v>0</v>
      </c>
      <c r="BP33" s="894">
        <f t="shared" si="17"/>
        <v>0</v>
      </c>
      <c r="BQ33" s="161"/>
      <c r="BR33" s="895"/>
      <c r="BS33" s="156"/>
      <c r="BT33" s="893">
        <f t="shared" si="18"/>
        <v>0</v>
      </c>
      <c r="BU33" s="557"/>
      <c r="BV33" s="893">
        <f t="shared" si="19"/>
        <v>0</v>
      </c>
      <c r="BX33" s="845">
        <f t="shared" si="20"/>
        <v>0</v>
      </c>
      <c r="BY33" s="845">
        <f t="shared" si="21"/>
        <v>0</v>
      </c>
      <c r="BZ33" s="845">
        <f t="shared" si="22"/>
        <v>0</v>
      </c>
      <c r="CA33" s="845">
        <f t="shared" si="23"/>
        <v>0</v>
      </c>
      <c r="CB33" s="845">
        <f t="shared" si="24"/>
        <v>0</v>
      </c>
      <c r="CC33" s="845">
        <f t="shared" si="25"/>
        <v>0</v>
      </c>
    </row>
    <row r="34" spans="1:81" ht="12" hidden="1" customHeight="1">
      <c r="A34" s="134">
        <v>27</v>
      </c>
      <c r="B34" s="892">
        <f>Efetivo!B37</f>
        <v>0</v>
      </c>
      <c r="C34" s="554"/>
      <c r="D34" s="893">
        <f>Efetivo!S37</f>
        <v>0</v>
      </c>
      <c r="E34" s="554"/>
      <c r="F34" s="560">
        <f>Efetivo!D37+Efetivo!AV37</f>
        <v>0</v>
      </c>
      <c r="G34" s="155"/>
      <c r="H34" s="160"/>
      <c r="I34" s="161"/>
      <c r="J34" s="162"/>
      <c r="K34" s="156"/>
      <c r="L34" s="560">
        <f>IF(Efetivo!BV37&gt;0,Efetivo!BV37,Efetivo!F37)</f>
        <v>0</v>
      </c>
      <c r="M34" s="557"/>
      <c r="N34" s="893">
        <f t="shared" si="26"/>
        <v>0</v>
      </c>
      <c r="O34" s="558"/>
      <c r="P34" s="893">
        <f t="shared" si="27"/>
        <v>0</v>
      </c>
      <c r="Q34" s="912">
        <f t="shared" si="28"/>
        <v>0</v>
      </c>
      <c r="R34" s="893">
        <f t="shared" si="29"/>
        <v>0</v>
      </c>
      <c r="S34" s="557"/>
      <c r="T34" s="894">
        <f t="shared" si="0"/>
        <v>0</v>
      </c>
      <c r="U34" s="161"/>
      <c r="V34" s="163"/>
      <c r="W34" s="156"/>
      <c r="X34" s="893">
        <f t="shared" si="1"/>
        <v>0</v>
      </c>
      <c r="Y34" s="557"/>
      <c r="Z34" s="893">
        <f t="shared" si="2"/>
        <v>0</v>
      </c>
      <c r="AB34" s="894">
        <f>Efetivo!D37+Efetivo!AV37</f>
        <v>0</v>
      </c>
      <c r="AC34" s="161"/>
      <c r="AD34" s="895"/>
      <c r="AE34" s="156"/>
      <c r="AF34" s="893">
        <f t="shared" si="3"/>
        <v>0</v>
      </c>
      <c r="AG34" s="557"/>
      <c r="AH34" s="893">
        <f t="shared" si="4"/>
        <v>0</v>
      </c>
      <c r="AJ34" s="894">
        <f t="shared" si="5"/>
        <v>0</v>
      </c>
      <c r="AK34" s="161"/>
      <c r="AL34" s="895"/>
      <c r="AM34" s="156"/>
      <c r="AN34" s="893">
        <f t="shared" si="6"/>
        <v>0</v>
      </c>
      <c r="AO34" s="557"/>
      <c r="AP34" s="893">
        <f t="shared" si="7"/>
        <v>0</v>
      </c>
      <c r="AR34" s="894">
        <f t="shared" si="8"/>
        <v>0</v>
      </c>
      <c r="AS34" s="161"/>
      <c r="AT34" s="895"/>
      <c r="AU34" s="156"/>
      <c r="AV34" s="893">
        <f t="shared" si="9"/>
        <v>0</v>
      </c>
      <c r="AW34" s="557"/>
      <c r="AX34" s="893">
        <f t="shared" si="10"/>
        <v>0</v>
      </c>
      <c r="AZ34" s="894">
        <f t="shared" si="11"/>
        <v>0</v>
      </c>
      <c r="BA34" s="161"/>
      <c r="BB34" s="895"/>
      <c r="BC34" s="558"/>
      <c r="BD34" s="893">
        <f t="shared" si="12"/>
        <v>0</v>
      </c>
      <c r="BF34" s="893">
        <f t="shared" si="13"/>
        <v>0</v>
      </c>
      <c r="BH34" s="894">
        <f t="shared" si="14"/>
        <v>0</v>
      </c>
      <c r="BI34" s="161"/>
      <c r="BJ34" s="895"/>
      <c r="BK34" s="156"/>
      <c r="BL34" s="893">
        <f t="shared" si="15"/>
        <v>0</v>
      </c>
      <c r="BM34" s="557"/>
      <c r="BN34" s="893">
        <f t="shared" si="16"/>
        <v>0</v>
      </c>
      <c r="BP34" s="894">
        <f t="shared" si="17"/>
        <v>0</v>
      </c>
      <c r="BQ34" s="161"/>
      <c r="BR34" s="895"/>
      <c r="BS34" s="156"/>
      <c r="BT34" s="893">
        <f t="shared" si="18"/>
        <v>0</v>
      </c>
      <c r="BU34" s="557"/>
      <c r="BV34" s="893">
        <f t="shared" si="19"/>
        <v>0</v>
      </c>
      <c r="BX34" s="845">
        <f t="shared" si="20"/>
        <v>0</v>
      </c>
      <c r="BY34" s="845">
        <f t="shared" si="21"/>
        <v>0</v>
      </c>
      <c r="BZ34" s="845">
        <f t="shared" si="22"/>
        <v>0</v>
      </c>
      <c r="CA34" s="845">
        <f t="shared" si="23"/>
        <v>0</v>
      </c>
      <c r="CB34" s="845">
        <f t="shared" si="24"/>
        <v>0</v>
      </c>
      <c r="CC34" s="845">
        <f t="shared" si="25"/>
        <v>0</v>
      </c>
    </row>
    <row r="35" spans="1:81" ht="12" hidden="1" customHeight="1">
      <c r="A35" s="134">
        <v>28</v>
      </c>
      <c r="B35" s="892">
        <f>Efetivo!B38</f>
        <v>0</v>
      </c>
      <c r="C35" s="554"/>
      <c r="D35" s="893">
        <f>Efetivo!S38</f>
        <v>0</v>
      </c>
      <c r="E35" s="554"/>
      <c r="F35" s="560">
        <f>Efetivo!D38+Efetivo!AV38</f>
        <v>0</v>
      </c>
      <c r="G35" s="155"/>
      <c r="H35" s="160"/>
      <c r="I35" s="161"/>
      <c r="J35" s="162"/>
      <c r="K35" s="156"/>
      <c r="L35" s="560">
        <f>IF(Efetivo!BV38&gt;0,Efetivo!BV38,Efetivo!F38)</f>
        <v>0</v>
      </c>
      <c r="M35" s="557"/>
      <c r="N35" s="893">
        <f t="shared" si="26"/>
        <v>0</v>
      </c>
      <c r="O35" s="558"/>
      <c r="P35" s="893">
        <f t="shared" si="27"/>
        <v>0</v>
      </c>
      <c r="Q35" s="912">
        <f t="shared" si="28"/>
        <v>0</v>
      </c>
      <c r="R35" s="893">
        <f t="shared" si="29"/>
        <v>0</v>
      </c>
      <c r="S35" s="557"/>
      <c r="T35" s="894">
        <f t="shared" si="0"/>
        <v>0</v>
      </c>
      <c r="U35" s="161"/>
      <c r="V35" s="163"/>
      <c r="W35" s="156"/>
      <c r="X35" s="893">
        <f t="shared" si="1"/>
        <v>0</v>
      </c>
      <c r="Y35" s="557"/>
      <c r="Z35" s="893">
        <f t="shared" si="2"/>
        <v>0</v>
      </c>
      <c r="AB35" s="894">
        <f>Efetivo!D38+Efetivo!AV38</f>
        <v>0</v>
      </c>
      <c r="AC35" s="161"/>
      <c r="AD35" s="895"/>
      <c r="AE35" s="156"/>
      <c r="AF35" s="893">
        <f t="shared" si="3"/>
        <v>0</v>
      </c>
      <c r="AG35" s="557"/>
      <c r="AH35" s="893">
        <f t="shared" si="4"/>
        <v>0</v>
      </c>
      <c r="AJ35" s="894">
        <f t="shared" si="5"/>
        <v>0</v>
      </c>
      <c r="AK35" s="161"/>
      <c r="AL35" s="895"/>
      <c r="AM35" s="156"/>
      <c r="AN35" s="893">
        <f t="shared" si="6"/>
        <v>0</v>
      </c>
      <c r="AO35" s="557"/>
      <c r="AP35" s="893">
        <f t="shared" si="7"/>
        <v>0</v>
      </c>
      <c r="AR35" s="894">
        <f t="shared" si="8"/>
        <v>0</v>
      </c>
      <c r="AS35" s="161"/>
      <c r="AT35" s="895"/>
      <c r="AU35" s="156"/>
      <c r="AV35" s="893">
        <f t="shared" si="9"/>
        <v>0</v>
      </c>
      <c r="AW35" s="557"/>
      <c r="AX35" s="893">
        <f t="shared" si="10"/>
        <v>0</v>
      </c>
      <c r="AZ35" s="894">
        <f t="shared" si="11"/>
        <v>0</v>
      </c>
      <c r="BA35" s="161"/>
      <c r="BB35" s="895"/>
      <c r="BC35" s="558"/>
      <c r="BD35" s="893">
        <f t="shared" si="12"/>
        <v>0</v>
      </c>
      <c r="BF35" s="893">
        <f t="shared" si="13"/>
        <v>0</v>
      </c>
      <c r="BH35" s="894">
        <f t="shared" si="14"/>
        <v>0</v>
      </c>
      <c r="BI35" s="161"/>
      <c r="BJ35" s="895"/>
      <c r="BK35" s="156"/>
      <c r="BL35" s="893">
        <f t="shared" si="15"/>
        <v>0</v>
      </c>
      <c r="BM35" s="557"/>
      <c r="BN35" s="893">
        <f t="shared" si="16"/>
        <v>0</v>
      </c>
      <c r="BP35" s="894">
        <f t="shared" si="17"/>
        <v>0</v>
      </c>
      <c r="BQ35" s="161"/>
      <c r="BR35" s="895"/>
      <c r="BS35" s="156"/>
      <c r="BT35" s="893">
        <f t="shared" si="18"/>
        <v>0</v>
      </c>
      <c r="BU35" s="557"/>
      <c r="BV35" s="893">
        <f t="shared" si="19"/>
        <v>0</v>
      </c>
      <c r="BX35" s="845">
        <f t="shared" si="20"/>
        <v>0</v>
      </c>
      <c r="BY35" s="845">
        <f t="shared" si="21"/>
        <v>0</v>
      </c>
      <c r="BZ35" s="845">
        <f t="shared" si="22"/>
        <v>0</v>
      </c>
      <c r="CA35" s="845">
        <f t="shared" si="23"/>
        <v>0</v>
      </c>
      <c r="CB35" s="845">
        <f t="shared" si="24"/>
        <v>0</v>
      </c>
      <c r="CC35" s="845">
        <f t="shared" si="25"/>
        <v>0</v>
      </c>
    </row>
    <row r="36" spans="1:81" ht="12" hidden="1" customHeight="1">
      <c r="A36" s="134">
        <v>29</v>
      </c>
      <c r="B36" s="892">
        <f>Efetivo!B39</f>
        <v>0</v>
      </c>
      <c r="C36" s="554"/>
      <c r="D36" s="893">
        <f>Efetivo!S39</f>
        <v>0</v>
      </c>
      <c r="E36" s="554"/>
      <c r="F36" s="560">
        <f>Efetivo!D39+Efetivo!AV39</f>
        <v>0</v>
      </c>
      <c r="G36" s="155"/>
      <c r="H36" s="160"/>
      <c r="I36" s="161"/>
      <c r="J36" s="162"/>
      <c r="K36" s="156"/>
      <c r="L36" s="560">
        <f>IF(Efetivo!BV39&gt;0,Efetivo!BV39,Efetivo!F39)</f>
        <v>0</v>
      </c>
      <c r="M36" s="557"/>
      <c r="N36" s="893">
        <f t="shared" si="26"/>
        <v>0</v>
      </c>
      <c r="O36" s="558"/>
      <c r="P36" s="893">
        <f t="shared" si="27"/>
        <v>0</v>
      </c>
      <c r="Q36" s="912">
        <f t="shared" si="28"/>
        <v>0</v>
      </c>
      <c r="R36" s="893">
        <f t="shared" si="29"/>
        <v>0</v>
      </c>
      <c r="S36" s="557"/>
      <c r="T36" s="894">
        <f t="shared" si="0"/>
        <v>0</v>
      </c>
      <c r="U36" s="161"/>
      <c r="V36" s="163"/>
      <c r="W36" s="156"/>
      <c r="X36" s="893">
        <f t="shared" si="1"/>
        <v>0</v>
      </c>
      <c r="Y36" s="557"/>
      <c r="Z36" s="893">
        <f t="shared" si="2"/>
        <v>0</v>
      </c>
      <c r="AB36" s="894">
        <f>Efetivo!D39+Efetivo!AV39</f>
        <v>0</v>
      </c>
      <c r="AC36" s="161"/>
      <c r="AD36" s="895"/>
      <c r="AE36" s="156"/>
      <c r="AF36" s="893">
        <f t="shared" si="3"/>
        <v>0</v>
      </c>
      <c r="AG36" s="557"/>
      <c r="AH36" s="893">
        <f t="shared" si="4"/>
        <v>0</v>
      </c>
      <c r="AJ36" s="894">
        <f t="shared" si="5"/>
        <v>0</v>
      </c>
      <c r="AK36" s="161"/>
      <c r="AL36" s="895"/>
      <c r="AM36" s="156"/>
      <c r="AN36" s="893">
        <f t="shared" si="6"/>
        <v>0</v>
      </c>
      <c r="AO36" s="557"/>
      <c r="AP36" s="893">
        <f t="shared" si="7"/>
        <v>0</v>
      </c>
      <c r="AR36" s="894">
        <f t="shared" si="8"/>
        <v>0</v>
      </c>
      <c r="AS36" s="161"/>
      <c r="AT36" s="895"/>
      <c r="AU36" s="156"/>
      <c r="AV36" s="893">
        <f t="shared" si="9"/>
        <v>0</v>
      </c>
      <c r="AW36" s="557"/>
      <c r="AX36" s="893">
        <f t="shared" si="10"/>
        <v>0</v>
      </c>
      <c r="AZ36" s="894">
        <f t="shared" si="11"/>
        <v>0</v>
      </c>
      <c r="BA36" s="161"/>
      <c r="BB36" s="895"/>
      <c r="BC36" s="558"/>
      <c r="BD36" s="893">
        <f t="shared" si="12"/>
        <v>0</v>
      </c>
      <c r="BF36" s="893">
        <f t="shared" si="13"/>
        <v>0</v>
      </c>
      <c r="BH36" s="894">
        <f t="shared" si="14"/>
        <v>0</v>
      </c>
      <c r="BI36" s="161"/>
      <c r="BJ36" s="895"/>
      <c r="BK36" s="156"/>
      <c r="BL36" s="893">
        <f t="shared" si="15"/>
        <v>0</v>
      </c>
      <c r="BM36" s="557"/>
      <c r="BN36" s="893">
        <f t="shared" si="16"/>
        <v>0</v>
      </c>
      <c r="BP36" s="894">
        <f t="shared" si="17"/>
        <v>0</v>
      </c>
      <c r="BQ36" s="161"/>
      <c r="BR36" s="895"/>
      <c r="BS36" s="156"/>
      <c r="BT36" s="893">
        <f t="shared" si="18"/>
        <v>0</v>
      </c>
      <c r="BU36" s="557"/>
      <c r="BV36" s="893">
        <f t="shared" si="19"/>
        <v>0</v>
      </c>
      <c r="BX36" s="845">
        <f t="shared" si="20"/>
        <v>0</v>
      </c>
      <c r="BY36" s="845">
        <f t="shared" si="21"/>
        <v>0</v>
      </c>
      <c r="BZ36" s="845">
        <f t="shared" si="22"/>
        <v>0</v>
      </c>
      <c r="CA36" s="845">
        <f t="shared" si="23"/>
        <v>0</v>
      </c>
      <c r="CB36" s="845">
        <f t="shared" si="24"/>
        <v>0</v>
      </c>
      <c r="CC36" s="845">
        <f t="shared" si="25"/>
        <v>0</v>
      </c>
    </row>
    <row r="37" spans="1:81" ht="12" hidden="1" customHeight="1">
      <c r="A37" s="134">
        <v>30</v>
      </c>
      <c r="B37" s="892">
        <f>Efetivo!B40</f>
        <v>0</v>
      </c>
      <c r="C37" s="554"/>
      <c r="D37" s="893">
        <f>Efetivo!S40</f>
        <v>0</v>
      </c>
      <c r="E37" s="554"/>
      <c r="F37" s="560">
        <f>Efetivo!D40+Efetivo!AV40</f>
        <v>0</v>
      </c>
      <c r="G37" s="155"/>
      <c r="H37" s="160"/>
      <c r="I37" s="161"/>
      <c r="J37" s="162"/>
      <c r="K37" s="156"/>
      <c r="L37" s="560">
        <f>IF(Efetivo!BV40&gt;0,Efetivo!BV40,Efetivo!F40)</f>
        <v>0</v>
      </c>
      <c r="M37" s="557"/>
      <c r="N37" s="893">
        <f t="shared" si="26"/>
        <v>0</v>
      </c>
      <c r="O37" s="558"/>
      <c r="P37" s="893">
        <f t="shared" si="27"/>
        <v>0</v>
      </c>
      <c r="Q37" s="912">
        <f t="shared" si="28"/>
        <v>0</v>
      </c>
      <c r="R37" s="893">
        <f t="shared" si="29"/>
        <v>0</v>
      </c>
      <c r="S37" s="557"/>
      <c r="T37" s="894">
        <f t="shared" si="0"/>
        <v>0</v>
      </c>
      <c r="U37" s="161"/>
      <c r="V37" s="163"/>
      <c r="W37" s="156"/>
      <c r="X37" s="893">
        <f t="shared" si="1"/>
        <v>0</v>
      </c>
      <c r="Y37" s="557"/>
      <c r="Z37" s="893">
        <f t="shared" si="2"/>
        <v>0</v>
      </c>
      <c r="AB37" s="894">
        <f>Efetivo!D40+Efetivo!AV40</f>
        <v>0</v>
      </c>
      <c r="AC37" s="161"/>
      <c r="AD37" s="895"/>
      <c r="AE37" s="156"/>
      <c r="AF37" s="893">
        <f t="shared" si="3"/>
        <v>0</v>
      </c>
      <c r="AG37" s="557"/>
      <c r="AH37" s="893">
        <f t="shared" si="4"/>
        <v>0</v>
      </c>
      <c r="AJ37" s="894">
        <f t="shared" si="5"/>
        <v>0</v>
      </c>
      <c r="AK37" s="161"/>
      <c r="AL37" s="895"/>
      <c r="AM37" s="156"/>
      <c r="AN37" s="893">
        <f t="shared" si="6"/>
        <v>0</v>
      </c>
      <c r="AO37" s="557"/>
      <c r="AP37" s="893">
        <f t="shared" si="7"/>
        <v>0</v>
      </c>
      <c r="AR37" s="894">
        <f t="shared" si="8"/>
        <v>0</v>
      </c>
      <c r="AS37" s="161"/>
      <c r="AT37" s="895"/>
      <c r="AU37" s="156"/>
      <c r="AV37" s="893">
        <f t="shared" si="9"/>
        <v>0</v>
      </c>
      <c r="AW37" s="557"/>
      <c r="AX37" s="893">
        <f t="shared" si="10"/>
        <v>0</v>
      </c>
      <c r="AZ37" s="894">
        <f t="shared" si="11"/>
        <v>0</v>
      </c>
      <c r="BA37" s="161"/>
      <c r="BB37" s="895"/>
      <c r="BC37" s="558"/>
      <c r="BD37" s="893">
        <f t="shared" si="12"/>
        <v>0</v>
      </c>
      <c r="BF37" s="893">
        <f t="shared" si="13"/>
        <v>0</v>
      </c>
      <c r="BH37" s="894">
        <f t="shared" si="14"/>
        <v>0</v>
      </c>
      <c r="BI37" s="161"/>
      <c r="BJ37" s="895"/>
      <c r="BK37" s="156"/>
      <c r="BL37" s="893">
        <f t="shared" si="15"/>
        <v>0</v>
      </c>
      <c r="BM37" s="557"/>
      <c r="BN37" s="893">
        <f t="shared" si="16"/>
        <v>0</v>
      </c>
      <c r="BP37" s="894">
        <f t="shared" si="17"/>
        <v>0</v>
      </c>
      <c r="BQ37" s="161"/>
      <c r="BR37" s="895"/>
      <c r="BS37" s="156"/>
      <c r="BT37" s="893">
        <f t="shared" si="18"/>
        <v>0</v>
      </c>
      <c r="BU37" s="557"/>
      <c r="BV37" s="893">
        <f t="shared" si="19"/>
        <v>0</v>
      </c>
      <c r="BX37" s="845">
        <f t="shared" si="20"/>
        <v>0</v>
      </c>
      <c r="BY37" s="845">
        <f t="shared" si="21"/>
        <v>0</v>
      </c>
      <c r="BZ37" s="845">
        <f t="shared" si="22"/>
        <v>0</v>
      </c>
      <c r="CA37" s="845">
        <f t="shared" si="23"/>
        <v>0</v>
      </c>
      <c r="CB37" s="845">
        <f t="shared" si="24"/>
        <v>0</v>
      </c>
      <c r="CC37" s="845">
        <f t="shared" si="25"/>
        <v>0</v>
      </c>
    </row>
    <row r="38" spans="1:81" ht="12" hidden="1" customHeight="1">
      <c r="A38" s="134">
        <v>31</v>
      </c>
      <c r="B38" s="892">
        <f>Efetivo!B41</f>
        <v>0</v>
      </c>
      <c r="C38" s="554"/>
      <c r="D38" s="893">
        <f>Efetivo!S41</f>
        <v>0</v>
      </c>
      <c r="E38" s="554"/>
      <c r="F38" s="560">
        <f>Efetivo!D41+Efetivo!AV41</f>
        <v>0</v>
      </c>
      <c r="G38" s="155"/>
      <c r="H38" s="160"/>
      <c r="I38" s="161"/>
      <c r="J38" s="162"/>
      <c r="K38" s="156"/>
      <c r="L38" s="560">
        <f>IF(Efetivo!BV41&gt;0,Efetivo!BV41,Efetivo!F41)</f>
        <v>0</v>
      </c>
      <c r="M38" s="557"/>
      <c r="N38" s="893">
        <f t="shared" si="26"/>
        <v>0</v>
      </c>
      <c r="O38" s="558"/>
      <c r="P38" s="893">
        <f t="shared" si="27"/>
        <v>0</v>
      </c>
      <c r="Q38" s="912">
        <f t="shared" si="28"/>
        <v>0</v>
      </c>
      <c r="R38" s="893">
        <f t="shared" si="29"/>
        <v>0</v>
      </c>
      <c r="S38" s="557"/>
      <c r="T38" s="894">
        <f t="shared" si="0"/>
        <v>0</v>
      </c>
      <c r="U38" s="161"/>
      <c r="V38" s="163"/>
      <c r="W38" s="156"/>
      <c r="X38" s="893">
        <f t="shared" si="1"/>
        <v>0</v>
      </c>
      <c r="Y38" s="557"/>
      <c r="Z38" s="893">
        <f t="shared" si="2"/>
        <v>0</v>
      </c>
      <c r="AB38" s="894">
        <f>Efetivo!D41+Efetivo!AV41</f>
        <v>0</v>
      </c>
      <c r="AC38" s="161"/>
      <c r="AD38" s="895"/>
      <c r="AE38" s="156"/>
      <c r="AF38" s="893">
        <f t="shared" si="3"/>
        <v>0</v>
      </c>
      <c r="AG38" s="557"/>
      <c r="AH38" s="893">
        <f t="shared" si="4"/>
        <v>0</v>
      </c>
      <c r="AJ38" s="894">
        <f t="shared" si="5"/>
        <v>0</v>
      </c>
      <c r="AK38" s="161"/>
      <c r="AL38" s="895"/>
      <c r="AM38" s="156"/>
      <c r="AN38" s="893">
        <f t="shared" si="6"/>
        <v>0</v>
      </c>
      <c r="AO38" s="557"/>
      <c r="AP38" s="893">
        <f t="shared" si="7"/>
        <v>0</v>
      </c>
      <c r="AR38" s="894">
        <f t="shared" si="8"/>
        <v>0</v>
      </c>
      <c r="AS38" s="161"/>
      <c r="AT38" s="895"/>
      <c r="AU38" s="156"/>
      <c r="AV38" s="893">
        <f t="shared" si="9"/>
        <v>0</v>
      </c>
      <c r="AW38" s="557"/>
      <c r="AX38" s="893">
        <f t="shared" si="10"/>
        <v>0</v>
      </c>
      <c r="AZ38" s="894">
        <f t="shared" si="11"/>
        <v>0</v>
      </c>
      <c r="BA38" s="161"/>
      <c r="BB38" s="895"/>
      <c r="BC38" s="558"/>
      <c r="BD38" s="893">
        <f t="shared" si="12"/>
        <v>0</v>
      </c>
      <c r="BF38" s="893">
        <f t="shared" si="13"/>
        <v>0</v>
      </c>
      <c r="BH38" s="894">
        <f t="shared" si="14"/>
        <v>0</v>
      </c>
      <c r="BI38" s="161"/>
      <c r="BJ38" s="895"/>
      <c r="BK38" s="156"/>
      <c r="BL38" s="893">
        <f t="shared" si="15"/>
        <v>0</v>
      </c>
      <c r="BM38" s="557"/>
      <c r="BN38" s="893">
        <f t="shared" si="16"/>
        <v>0</v>
      </c>
      <c r="BP38" s="894">
        <f t="shared" si="17"/>
        <v>0</v>
      </c>
      <c r="BQ38" s="161"/>
      <c r="BR38" s="895"/>
      <c r="BS38" s="156"/>
      <c r="BT38" s="893">
        <f t="shared" si="18"/>
        <v>0</v>
      </c>
      <c r="BU38" s="557"/>
      <c r="BV38" s="893">
        <f t="shared" si="19"/>
        <v>0</v>
      </c>
      <c r="BX38" s="845">
        <f t="shared" si="20"/>
        <v>0</v>
      </c>
      <c r="BY38" s="845">
        <f t="shared" si="21"/>
        <v>0</v>
      </c>
      <c r="BZ38" s="845">
        <f t="shared" si="22"/>
        <v>0</v>
      </c>
      <c r="CA38" s="845">
        <f t="shared" si="23"/>
        <v>0</v>
      </c>
      <c r="CB38" s="845">
        <f t="shared" si="24"/>
        <v>0</v>
      </c>
      <c r="CC38" s="845">
        <f t="shared" si="25"/>
        <v>0</v>
      </c>
    </row>
    <row r="39" spans="1:81" ht="12" hidden="1" customHeight="1">
      <c r="A39" s="134">
        <v>32</v>
      </c>
      <c r="B39" s="892">
        <f>Efetivo!B42</f>
        <v>0</v>
      </c>
      <c r="C39" s="554"/>
      <c r="D39" s="893">
        <f>Efetivo!S42</f>
        <v>0</v>
      </c>
      <c r="E39" s="554"/>
      <c r="F39" s="560">
        <f>Efetivo!D42+Efetivo!AV42</f>
        <v>0</v>
      </c>
      <c r="G39" s="155"/>
      <c r="H39" s="160"/>
      <c r="I39" s="161"/>
      <c r="J39" s="162"/>
      <c r="K39" s="156"/>
      <c r="L39" s="560">
        <f>IF(Efetivo!BV42&gt;0,Efetivo!BV42,Efetivo!F42)</f>
        <v>0</v>
      </c>
      <c r="M39" s="557"/>
      <c r="N39" s="893">
        <f t="shared" si="26"/>
        <v>0</v>
      </c>
      <c r="O39" s="558"/>
      <c r="P39" s="893">
        <f t="shared" si="27"/>
        <v>0</v>
      </c>
      <c r="Q39" s="912">
        <f t="shared" si="28"/>
        <v>0</v>
      </c>
      <c r="R39" s="893">
        <f t="shared" si="29"/>
        <v>0</v>
      </c>
      <c r="S39" s="557"/>
      <c r="T39" s="894">
        <f t="shared" si="0"/>
        <v>0</v>
      </c>
      <c r="U39" s="161"/>
      <c r="V39" s="163"/>
      <c r="W39" s="156"/>
      <c r="X39" s="893">
        <f t="shared" si="1"/>
        <v>0</v>
      </c>
      <c r="Y39" s="557"/>
      <c r="Z39" s="893">
        <f t="shared" si="2"/>
        <v>0</v>
      </c>
      <c r="AB39" s="894">
        <f>Efetivo!D42+Efetivo!AV42</f>
        <v>0</v>
      </c>
      <c r="AC39" s="161"/>
      <c r="AD39" s="895"/>
      <c r="AE39" s="156"/>
      <c r="AF39" s="893">
        <f t="shared" si="3"/>
        <v>0</v>
      </c>
      <c r="AG39" s="557"/>
      <c r="AH39" s="893">
        <f t="shared" si="4"/>
        <v>0</v>
      </c>
      <c r="AJ39" s="894">
        <f t="shared" si="5"/>
        <v>0</v>
      </c>
      <c r="AK39" s="161"/>
      <c r="AL39" s="895"/>
      <c r="AM39" s="156"/>
      <c r="AN39" s="893">
        <f t="shared" si="6"/>
        <v>0</v>
      </c>
      <c r="AO39" s="557"/>
      <c r="AP39" s="893">
        <f t="shared" si="7"/>
        <v>0</v>
      </c>
      <c r="AR39" s="894">
        <f t="shared" si="8"/>
        <v>0</v>
      </c>
      <c r="AS39" s="161"/>
      <c r="AT39" s="895"/>
      <c r="AU39" s="156"/>
      <c r="AV39" s="893">
        <f t="shared" si="9"/>
        <v>0</v>
      </c>
      <c r="AW39" s="557"/>
      <c r="AX39" s="893">
        <f t="shared" si="10"/>
        <v>0</v>
      </c>
      <c r="AZ39" s="894">
        <f t="shared" si="11"/>
        <v>0</v>
      </c>
      <c r="BA39" s="161"/>
      <c r="BB39" s="895"/>
      <c r="BC39" s="558"/>
      <c r="BD39" s="893">
        <f t="shared" si="12"/>
        <v>0</v>
      </c>
      <c r="BF39" s="893">
        <f t="shared" si="13"/>
        <v>0</v>
      </c>
      <c r="BH39" s="894">
        <f t="shared" si="14"/>
        <v>0</v>
      </c>
      <c r="BI39" s="161"/>
      <c r="BJ39" s="895"/>
      <c r="BK39" s="156"/>
      <c r="BL39" s="893">
        <f t="shared" si="15"/>
        <v>0</v>
      </c>
      <c r="BM39" s="557"/>
      <c r="BN39" s="893">
        <f t="shared" si="16"/>
        <v>0</v>
      </c>
      <c r="BP39" s="894">
        <f t="shared" si="17"/>
        <v>0</v>
      </c>
      <c r="BQ39" s="161"/>
      <c r="BR39" s="895"/>
      <c r="BS39" s="156"/>
      <c r="BT39" s="893">
        <f t="shared" si="18"/>
        <v>0</v>
      </c>
      <c r="BU39" s="557"/>
      <c r="BV39" s="893">
        <f t="shared" si="19"/>
        <v>0</v>
      </c>
      <c r="BX39" s="845">
        <f t="shared" si="20"/>
        <v>0</v>
      </c>
      <c r="BY39" s="845">
        <f t="shared" si="21"/>
        <v>0</v>
      </c>
      <c r="BZ39" s="845">
        <f t="shared" si="22"/>
        <v>0</v>
      </c>
      <c r="CA39" s="845">
        <f t="shared" si="23"/>
        <v>0</v>
      </c>
      <c r="CB39" s="845">
        <f t="shared" si="24"/>
        <v>0</v>
      </c>
      <c r="CC39" s="845">
        <f t="shared" si="25"/>
        <v>0</v>
      </c>
    </row>
    <row r="40" spans="1:81" ht="12" hidden="1" customHeight="1">
      <c r="A40" s="134">
        <v>33</v>
      </c>
      <c r="B40" s="892">
        <f>Efetivo!B43</f>
        <v>0</v>
      </c>
      <c r="C40" s="554"/>
      <c r="D40" s="893">
        <f>Efetivo!S43</f>
        <v>0</v>
      </c>
      <c r="E40" s="554"/>
      <c r="F40" s="560">
        <f>Efetivo!D43+Efetivo!AV43</f>
        <v>0</v>
      </c>
      <c r="G40" s="155"/>
      <c r="H40" s="160"/>
      <c r="I40" s="161"/>
      <c r="J40" s="162"/>
      <c r="K40" s="156"/>
      <c r="L40" s="560">
        <f>IF(Efetivo!BV43&gt;0,Efetivo!BV43,Efetivo!F43)</f>
        <v>0</v>
      </c>
      <c r="M40" s="557"/>
      <c r="N40" s="893">
        <f t="shared" si="26"/>
        <v>0</v>
      </c>
      <c r="O40" s="558"/>
      <c r="P40" s="893">
        <f t="shared" si="27"/>
        <v>0</v>
      </c>
      <c r="Q40" s="912">
        <f t="shared" si="28"/>
        <v>0</v>
      </c>
      <c r="R40" s="893">
        <f t="shared" si="29"/>
        <v>0</v>
      </c>
      <c r="S40" s="557"/>
      <c r="T40" s="894">
        <f t="shared" si="0"/>
        <v>0</v>
      </c>
      <c r="U40" s="161"/>
      <c r="V40" s="163"/>
      <c r="W40" s="156"/>
      <c r="X40" s="893">
        <f t="shared" si="1"/>
        <v>0</v>
      </c>
      <c r="Y40" s="557"/>
      <c r="Z40" s="893">
        <f t="shared" si="2"/>
        <v>0</v>
      </c>
      <c r="AB40" s="894">
        <f>Efetivo!D43+Efetivo!AV43</f>
        <v>0</v>
      </c>
      <c r="AC40" s="161"/>
      <c r="AD40" s="895"/>
      <c r="AE40" s="156"/>
      <c r="AF40" s="893">
        <f t="shared" ref="AF40:AF48" si="30">-(AC39*AD40)</f>
        <v>0</v>
      </c>
      <c r="AG40" s="557"/>
      <c r="AH40" s="893">
        <f t="shared" si="4"/>
        <v>0</v>
      </c>
      <c r="AJ40" s="894">
        <f t="shared" si="5"/>
        <v>0</v>
      </c>
      <c r="AK40" s="161"/>
      <c r="AL40" s="895"/>
      <c r="AM40" s="156"/>
      <c r="AN40" s="893">
        <f t="shared" si="6"/>
        <v>0</v>
      </c>
      <c r="AO40" s="557"/>
      <c r="AP40" s="893">
        <f t="shared" si="7"/>
        <v>0</v>
      </c>
      <c r="AR40" s="894">
        <f t="shared" si="8"/>
        <v>0</v>
      </c>
      <c r="AS40" s="161"/>
      <c r="AT40" s="895"/>
      <c r="AU40" s="156"/>
      <c r="AV40" s="893">
        <f t="shared" si="9"/>
        <v>0</v>
      </c>
      <c r="AW40" s="557"/>
      <c r="AX40" s="893">
        <f t="shared" si="10"/>
        <v>0</v>
      </c>
      <c r="AZ40" s="894">
        <f t="shared" si="11"/>
        <v>0</v>
      </c>
      <c r="BA40" s="161"/>
      <c r="BB40" s="895"/>
      <c r="BC40" s="558"/>
      <c r="BD40" s="893">
        <f t="shared" si="12"/>
        <v>0</v>
      </c>
      <c r="BF40" s="893">
        <f t="shared" si="13"/>
        <v>0</v>
      </c>
      <c r="BH40" s="894">
        <f t="shared" si="14"/>
        <v>0</v>
      </c>
      <c r="BI40" s="161"/>
      <c r="BJ40" s="895"/>
      <c r="BK40" s="156"/>
      <c r="BL40" s="893">
        <f t="shared" si="15"/>
        <v>0</v>
      </c>
      <c r="BM40" s="557"/>
      <c r="BN40" s="893">
        <f t="shared" si="16"/>
        <v>0</v>
      </c>
      <c r="BP40" s="894">
        <f t="shared" si="17"/>
        <v>0</v>
      </c>
      <c r="BQ40" s="161"/>
      <c r="BR40" s="895"/>
      <c r="BS40" s="156"/>
      <c r="BT40" s="893">
        <f t="shared" si="18"/>
        <v>0</v>
      </c>
      <c r="BU40" s="557"/>
      <c r="BV40" s="893">
        <f t="shared" si="19"/>
        <v>0</v>
      </c>
      <c r="BX40" s="845">
        <f t="shared" si="20"/>
        <v>0</v>
      </c>
      <c r="BY40" s="845">
        <f t="shared" si="21"/>
        <v>0</v>
      </c>
      <c r="BZ40" s="845">
        <f t="shared" si="22"/>
        <v>0</v>
      </c>
      <c r="CA40" s="845">
        <f t="shared" si="23"/>
        <v>0</v>
      </c>
      <c r="CB40" s="845">
        <f t="shared" si="24"/>
        <v>0</v>
      </c>
      <c r="CC40" s="845">
        <f t="shared" si="25"/>
        <v>0</v>
      </c>
    </row>
    <row r="41" spans="1:81" ht="12" hidden="1" customHeight="1">
      <c r="A41" s="134">
        <v>34</v>
      </c>
      <c r="B41" s="892">
        <f>Efetivo!B44</f>
        <v>0</v>
      </c>
      <c r="C41" s="554"/>
      <c r="D41" s="893">
        <f>Efetivo!S44</f>
        <v>0</v>
      </c>
      <c r="E41" s="554"/>
      <c r="F41" s="560">
        <f>Efetivo!D44+Efetivo!AV44</f>
        <v>0</v>
      </c>
      <c r="G41" s="155"/>
      <c r="H41" s="160"/>
      <c r="I41" s="161"/>
      <c r="J41" s="162"/>
      <c r="K41" s="156"/>
      <c r="L41" s="560">
        <f>IF(Efetivo!BV44&gt;0,Efetivo!BV44,Efetivo!F44)</f>
        <v>0</v>
      </c>
      <c r="M41" s="557"/>
      <c r="N41" s="893">
        <f t="shared" si="26"/>
        <v>0</v>
      </c>
      <c r="O41" s="558"/>
      <c r="P41" s="893">
        <f t="shared" si="27"/>
        <v>0</v>
      </c>
      <c r="Q41" s="912">
        <f t="shared" si="28"/>
        <v>0</v>
      </c>
      <c r="R41" s="893">
        <f t="shared" si="29"/>
        <v>0</v>
      </c>
      <c r="S41" s="557"/>
      <c r="T41" s="894">
        <f t="shared" si="0"/>
        <v>0</v>
      </c>
      <c r="U41" s="161"/>
      <c r="V41" s="163"/>
      <c r="W41" s="156"/>
      <c r="X41" s="893">
        <f t="shared" si="1"/>
        <v>0</v>
      </c>
      <c r="Y41" s="557"/>
      <c r="Z41" s="893">
        <f t="shared" si="2"/>
        <v>0</v>
      </c>
      <c r="AB41" s="894">
        <f>Efetivo!D44+Efetivo!AV44</f>
        <v>0</v>
      </c>
      <c r="AC41" s="161"/>
      <c r="AD41" s="895"/>
      <c r="AE41" s="156"/>
      <c r="AF41" s="893">
        <f t="shared" si="30"/>
        <v>0</v>
      </c>
      <c r="AG41" s="557"/>
      <c r="AH41" s="893">
        <f t="shared" si="4"/>
        <v>0</v>
      </c>
      <c r="AJ41" s="894">
        <f t="shared" si="5"/>
        <v>0</v>
      </c>
      <c r="AK41" s="161"/>
      <c r="AL41" s="895"/>
      <c r="AM41" s="156"/>
      <c r="AN41" s="893">
        <f t="shared" si="6"/>
        <v>0</v>
      </c>
      <c r="AO41" s="557"/>
      <c r="AP41" s="893">
        <f t="shared" si="7"/>
        <v>0</v>
      </c>
      <c r="AR41" s="894">
        <f t="shared" si="8"/>
        <v>0</v>
      </c>
      <c r="AS41" s="161"/>
      <c r="AT41" s="895"/>
      <c r="AU41" s="156"/>
      <c r="AV41" s="893">
        <f t="shared" si="9"/>
        <v>0</v>
      </c>
      <c r="AW41" s="557"/>
      <c r="AX41" s="893">
        <f t="shared" si="10"/>
        <v>0</v>
      </c>
      <c r="AZ41" s="894">
        <f t="shared" si="11"/>
        <v>0</v>
      </c>
      <c r="BA41" s="161"/>
      <c r="BB41" s="895"/>
      <c r="BC41" s="558"/>
      <c r="BD41" s="893">
        <f t="shared" si="12"/>
        <v>0</v>
      </c>
      <c r="BF41" s="893">
        <f t="shared" si="13"/>
        <v>0</v>
      </c>
      <c r="BH41" s="894">
        <f t="shared" si="14"/>
        <v>0</v>
      </c>
      <c r="BI41" s="161"/>
      <c r="BJ41" s="895"/>
      <c r="BK41" s="156"/>
      <c r="BL41" s="893">
        <f t="shared" si="15"/>
        <v>0</v>
      </c>
      <c r="BM41" s="557"/>
      <c r="BN41" s="893">
        <f t="shared" si="16"/>
        <v>0</v>
      </c>
      <c r="BP41" s="894">
        <f t="shared" si="17"/>
        <v>0</v>
      </c>
      <c r="BQ41" s="161"/>
      <c r="BR41" s="895"/>
      <c r="BS41" s="156"/>
      <c r="BT41" s="893">
        <f t="shared" si="18"/>
        <v>0</v>
      </c>
      <c r="BU41" s="557"/>
      <c r="BV41" s="893">
        <f t="shared" si="19"/>
        <v>0</v>
      </c>
      <c r="BX41" s="845">
        <f t="shared" si="20"/>
        <v>0</v>
      </c>
      <c r="BY41" s="845">
        <f t="shared" si="21"/>
        <v>0</v>
      </c>
      <c r="BZ41" s="845">
        <f t="shared" si="22"/>
        <v>0</v>
      </c>
      <c r="CA41" s="845">
        <f t="shared" si="23"/>
        <v>0</v>
      </c>
      <c r="CB41" s="845">
        <f t="shared" si="24"/>
        <v>0</v>
      </c>
      <c r="CC41" s="845">
        <f t="shared" si="25"/>
        <v>0</v>
      </c>
    </row>
    <row r="42" spans="1:81" ht="12" hidden="1" customHeight="1">
      <c r="A42" s="134">
        <v>35</v>
      </c>
      <c r="B42" s="892">
        <f>Efetivo!B45</f>
        <v>0</v>
      </c>
      <c r="C42" s="554"/>
      <c r="D42" s="893">
        <f>Efetivo!S45</f>
        <v>0</v>
      </c>
      <c r="E42" s="554"/>
      <c r="F42" s="560">
        <f>Efetivo!D45+Efetivo!AV45</f>
        <v>0</v>
      </c>
      <c r="G42" s="155"/>
      <c r="H42" s="160"/>
      <c r="I42" s="161"/>
      <c r="J42" s="162"/>
      <c r="K42" s="156"/>
      <c r="L42" s="560">
        <f>IF(Efetivo!BV45&gt;0,Efetivo!BV45,Efetivo!F45)</f>
        <v>0</v>
      </c>
      <c r="M42" s="557"/>
      <c r="N42" s="893">
        <f t="shared" si="26"/>
        <v>0</v>
      </c>
      <c r="O42" s="558"/>
      <c r="P42" s="893">
        <f t="shared" si="27"/>
        <v>0</v>
      </c>
      <c r="Q42" s="912">
        <f t="shared" si="28"/>
        <v>0</v>
      </c>
      <c r="R42" s="893">
        <f t="shared" si="29"/>
        <v>0</v>
      </c>
      <c r="S42" s="557"/>
      <c r="T42" s="894">
        <f t="shared" si="0"/>
        <v>0</v>
      </c>
      <c r="U42" s="161"/>
      <c r="V42" s="163"/>
      <c r="W42" s="156"/>
      <c r="X42" s="893">
        <f t="shared" si="1"/>
        <v>0</v>
      </c>
      <c r="Y42" s="557"/>
      <c r="Z42" s="893">
        <f t="shared" si="2"/>
        <v>0</v>
      </c>
      <c r="AB42" s="894">
        <f>Efetivo!D45+Efetivo!AV45</f>
        <v>0</v>
      </c>
      <c r="AC42" s="161"/>
      <c r="AD42" s="895"/>
      <c r="AE42" s="156"/>
      <c r="AF42" s="893">
        <f t="shared" si="30"/>
        <v>0</v>
      </c>
      <c r="AG42" s="557"/>
      <c r="AH42" s="893">
        <f t="shared" si="4"/>
        <v>0</v>
      </c>
      <c r="AJ42" s="894">
        <f t="shared" si="5"/>
        <v>0</v>
      </c>
      <c r="AK42" s="161"/>
      <c r="AL42" s="895"/>
      <c r="AM42" s="156"/>
      <c r="AN42" s="893">
        <f t="shared" si="6"/>
        <v>0</v>
      </c>
      <c r="AO42" s="557"/>
      <c r="AP42" s="893">
        <f t="shared" si="7"/>
        <v>0</v>
      </c>
      <c r="AR42" s="894">
        <f t="shared" si="8"/>
        <v>0</v>
      </c>
      <c r="AS42" s="161"/>
      <c r="AT42" s="895"/>
      <c r="AU42" s="156"/>
      <c r="AV42" s="893">
        <f t="shared" si="9"/>
        <v>0</v>
      </c>
      <c r="AW42" s="557"/>
      <c r="AX42" s="893">
        <f t="shared" si="10"/>
        <v>0</v>
      </c>
      <c r="AZ42" s="894">
        <f t="shared" si="11"/>
        <v>0</v>
      </c>
      <c r="BA42" s="161"/>
      <c r="BB42" s="895"/>
      <c r="BC42" s="558"/>
      <c r="BD42" s="893">
        <f t="shared" si="12"/>
        <v>0</v>
      </c>
      <c r="BF42" s="893">
        <f t="shared" si="13"/>
        <v>0</v>
      </c>
      <c r="BH42" s="894">
        <f t="shared" si="14"/>
        <v>0</v>
      </c>
      <c r="BI42" s="161"/>
      <c r="BJ42" s="895"/>
      <c r="BK42" s="156"/>
      <c r="BL42" s="893">
        <f t="shared" si="15"/>
        <v>0</v>
      </c>
      <c r="BM42" s="557"/>
      <c r="BN42" s="893">
        <f t="shared" si="16"/>
        <v>0</v>
      </c>
      <c r="BP42" s="894">
        <f t="shared" si="17"/>
        <v>0</v>
      </c>
      <c r="BQ42" s="161"/>
      <c r="BR42" s="895"/>
      <c r="BS42" s="156"/>
      <c r="BT42" s="893">
        <f t="shared" si="18"/>
        <v>0</v>
      </c>
      <c r="BU42" s="557"/>
      <c r="BV42" s="893">
        <f t="shared" si="19"/>
        <v>0</v>
      </c>
      <c r="BX42" s="845">
        <f t="shared" si="20"/>
        <v>0</v>
      </c>
      <c r="BY42" s="845">
        <f t="shared" si="21"/>
        <v>0</v>
      </c>
      <c r="BZ42" s="845">
        <f t="shared" si="22"/>
        <v>0</v>
      </c>
      <c r="CA42" s="845">
        <f t="shared" si="23"/>
        <v>0</v>
      </c>
      <c r="CB42" s="845">
        <f t="shared" si="24"/>
        <v>0</v>
      </c>
      <c r="CC42" s="845">
        <f t="shared" si="25"/>
        <v>0</v>
      </c>
    </row>
    <row r="43" spans="1:81" ht="12" hidden="1" customHeight="1">
      <c r="A43" s="134">
        <v>36</v>
      </c>
      <c r="B43" s="892">
        <f>Efetivo!B46</f>
        <v>0</v>
      </c>
      <c r="C43" s="554"/>
      <c r="D43" s="893">
        <f>Efetivo!S46</f>
        <v>0</v>
      </c>
      <c r="E43" s="554"/>
      <c r="F43" s="560">
        <f>Efetivo!D46+Efetivo!AV46</f>
        <v>0</v>
      </c>
      <c r="G43" s="155"/>
      <c r="H43" s="160"/>
      <c r="I43" s="161"/>
      <c r="J43" s="162"/>
      <c r="K43" s="156"/>
      <c r="L43" s="560">
        <f>IF(Efetivo!BV46&gt;0,Efetivo!BV46,Efetivo!F46)</f>
        <v>0</v>
      </c>
      <c r="M43" s="557"/>
      <c r="N43" s="893">
        <f t="shared" si="26"/>
        <v>0</v>
      </c>
      <c r="O43" s="558"/>
      <c r="P43" s="893">
        <f t="shared" si="27"/>
        <v>0</v>
      </c>
      <c r="Q43" s="912">
        <f t="shared" si="28"/>
        <v>0</v>
      </c>
      <c r="R43" s="893">
        <f t="shared" si="29"/>
        <v>0</v>
      </c>
      <c r="S43" s="557"/>
      <c r="T43" s="894">
        <f t="shared" si="0"/>
        <v>0</v>
      </c>
      <c r="U43" s="161"/>
      <c r="V43" s="163"/>
      <c r="W43" s="156"/>
      <c r="X43" s="893">
        <f t="shared" si="1"/>
        <v>0</v>
      </c>
      <c r="Y43" s="557"/>
      <c r="Z43" s="893">
        <f t="shared" si="2"/>
        <v>0</v>
      </c>
      <c r="AB43" s="894">
        <f>Efetivo!D46+Efetivo!AV46</f>
        <v>0</v>
      </c>
      <c r="AC43" s="161"/>
      <c r="AD43" s="895"/>
      <c r="AE43" s="156"/>
      <c r="AF43" s="893">
        <f t="shared" si="30"/>
        <v>0</v>
      </c>
      <c r="AG43" s="557"/>
      <c r="AH43" s="893">
        <f t="shared" si="4"/>
        <v>0</v>
      </c>
      <c r="AJ43" s="894">
        <f t="shared" si="5"/>
        <v>0</v>
      </c>
      <c r="AK43" s="161"/>
      <c r="AL43" s="895"/>
      <c r="AM43" s="156"/>
      <c r="AN43" s="893">
        <f t="shared" si="6"/>
        <v>0</v>
      </c>
      <c r="AO43" s="557"/>
      <c r="AP43" s="893">
        <f t="shared" si="7"/>
        <v>0</v>
      </c>
      <c r="AR43" s="894">
        <f t="shared" si="8"/>
        <v>0</v>
      </c>
      <c r="AS43" s="161"/>
      <c r="AT43" s="895"/>
      <c r="AU43" s="156"/>
      <c r="AV43" s="893">
        <f t="shared" si="9"/>
        <v>0</v>
      </c>
      <c r="AW43" s="557"/>
      <c r="AX43" s="893">
        <f t="shared" si="10"/>
        <v>0</v>
      </c>
      <c r="AZ43" s="894">
        <f t="shared" si="11"/>
        <v>0</v>
      </c>
      <c r="BA43" s="161"/>
      <c r="BB43" s="895"/>
      <c r="BC43" s="558"/>
      <c r="BD43" s="893">
        <f t="shared" si="12"/>
        <v>0</v>
      </c>
      <c r="BF43" s="893">
        <f t="shared" si="13"/>
        <v>0</v>
      </c>
      <c r="BH43" s="894">
        <f t="shared" si="14"/>
        <v>0</v>
      </c>
      <c r="BI43" s="161"/>
      <c r="BJ43" s="895"/>
      <c r="BK43" s="156"/>
      <c r="BL43" s="893">
        <f t="shared" si="15"/>
        <v>0</v>
      </c>
      <c r="BM43" s="557"/>
      <c r="BN43" s="893">
        <f t="shared" si="16"/>
        <v>0</v>
      </c>
      <c r="BP43" s="894">
        <f t="shared" si="17"/>
        <v>0</v>
      </c>
      <c r="BQ43" s="161"/>
      <c r="BR43" s="895"/>
      <c r="BS43" s="156"/>
      <c r="BT43" s="893">
        <f t="shared" si="18"/>
        <v>0</v>
      </c>
      <c r="BU43" s="557"/>
      <c r="BV43" s="893">
        <f t="shared" si="19"/>
        <v>0</v>
      </c>
      <c r="BX43" s="845">
        <f t="shared" si="20"/>
        <v>0</v>
      </c>
      <c r="BY43" s="845">
        <f t="shared" si="21"/>
        <v>0</v>
      </c>
      <c r="BZ43" s="845">
        <f t="shared" si="22"/>
        <v>0</v>
      </c>
      <c r="CA43" s="845">
        <f t="shared" si="23"/>
        <v>0</v>
      </c>
      <c r="CB43" s="845">
        <f t="shared" si="24"/>
        <v>0</v>
      </c>
      <c r="CC43" s="845">
        <f t="shared" si="25"/>
        <v>0</v>
      </c>
    </row>
    <row r="44" spans="1:81" ht="12" hidden="1" customHeight="1">
      <c r="A44" s="134">
        <v>37</v>
      </c>
      <c r="B44" s="892">
        <f>Efetivo!B47</f>
        <v>0</v>
      </c>
      <c r="C44" s="554"/>
      <c r="D44" s="893">
        <f>Efetivo!S47</f>
        <v>0</v>
      </c>
      <c r="E44" s="554"/>
      <c r="F44" s="560">
        <f>Efetivo!D47+Efetivo!AV47</f>
        <v>0</v>
      </c>
      <c r="G44" s="155"/>
      <c r="H44" s="160"/>
      <c r="I44" s="161"/>
      <c r="J44" s="162"/>
      <c r="K44" s="156"/>
      <c r="L44" s="560">
        <f>IF(Efetivo!BV47&gt;0,Efetivo!BV47,Efetivo!F47)</f>
        <v>0</v>
      </c>
      <c r="M44" s="557"/>
      <c r="N44" s="893">
        <f t="shared" si="26"/>
        <v>0</v>
      </c>
      <c r="O44" s="558"/>
      <c r="P44" s="893">
        <f t="shared" si="27"/>
        <v>0</v>
      </c>
      <c r="Q44" s="912">
        <f t="shared" si="28"/>
        <v>0</v>
      </c>
      <c r="R44" s="893">
        <f t="shared" si="29"/>
        <v>0</v>
      </c>
      <c r="S44" s="557"/>
      <c r="T44" s="894">
        <f t="shared" si="0"/>
        <v>0</v>
      </c>
      <c r="U44" s="161"/>
      <c r="V44" s="163"/>
      <c r="W44" s="156"/>
      <c r="X44" s="893">
        <f t="shared" si="1"/>
        <v>0</v>
      </c>
      <c r="Y44" s="557"/>
      <c r="Z44" s="893">
        <f t="shared" si="2"/>
        <v>0</v>
      </c>
      <c r="AB44" s="894">
        <f>Efetivo!D47+Efetivo!AV47</f>
        <v>0</v>
      </c>
      <c r="AC44" s="161"/>
      <c r="AD44" s="895"/>
      <c r="AE44" s="156"/>
      <c r="AF44" s="893">
        <f t="shared" si="30"/>
        <v>0</v>
      </c>
      <c r="AG44" s="557"/>
      <c r="AH44" s="893">
        <f t="shared" si="4"/>
        <v>0</v>
      </c>
      <c r="AJ44" s="894">
        <f t="shared" si="5"/>
        <v>0</v>
      </c>
      <c r="AK44" s="161"/>
      <c r="AL44" s="895"/>
      <c r="AM44" s="156"/>
      <c r="AN44" s="893">
        <f t="shared" si="6"/>
        <v>0</v>
      </c>
      <c r="AO44" s="557"/>
      <c r="AP44" s="893">
        <f t="shared" si="7"/>
        <v>0</v>
      </c>
      <c r="AR44" s="894">
        <f t="shared" si="8"/>
        <v>0</v>
      </c>
      <c r="AS44" s="161"/>
      <c r="AT44" s="895"/>
      <c r="AU44" s="156"/>
      <c r="AV44" s="893">
        <f t="shared" si="9"/>
        <v>0</v>
      </c>
      <c r="AW44" s="557"/>
      <c r="AX44" s="893">
        <f t="shared" si="10"/>
        <v>0</v>
      </c>
      <c r="AZ44" s="894">
        <f t="shared" si="11"/>
        <v>0</v>
      </c>
      <c r="BA44" s="161"/>
      <c r="BB44" s="895"/>
      <c r="BC44" s="558"/>
      <c r="BD44" s="893">
        <f t="shared" si="12"/>
        <v>0</v>
      </c>
      <c r="BF44" s="893">
        <f t="shared" si="13"/>
        <v>0</v>
      </c>
      <c r="BH44" s="894">
        <f t="shared" si="14"/>
        <v>0</v>
      </c>
      <c r="BI44" s="161"/>
      <c r="BJ44" s="895"/>
      <c r="BK44" s="156"/>
      <c r="BL44" s="893">
        <f t="shared" si="15"/>
        <v>0</v>
      </c>
      <c r="BM44" s="557"/>
      <c r="BN44" s="893">
        <f t="shared" si="16"/>
        <v>0</v>
      </c>
      <c r="BP44" s="894">
        <f t="shared" si="17"/>
        <v>0</v>
      </c>
      <c r="BQ44" s="161"/>
      <c r="BR44" s="895"/>
      <c r="BS44" s="156"/>
      <c r="BT44" s="893">
        <f t="shared" si="18"/>
        <v>0</v>
      </c>
      <c r="BU44" s="557"/>
      <c r="BV44" s="893">
        <f t="shared" si="19"/>
        <v>0</v>
      </c>
      <c r="BX44" s="845">
        <f t="shared" si="20"/>
        <v>0</v>
      </c>
      <c r="BY44" s="845">
        <f t="shared" si="21"/>
        <v>0</v>
      </c>
      <c r="BZ44" s="845">
        <f t="shared" si="22"/>
        <v>0</v>
      </c>
      <c r="CA44" s="845">
        <f t="shared" si="23"/>
        <v>0</v>
      </c>
      <c r="CB44" s="845">
        <f t="shared" si="24"/>
        <v>0</v>
      </c>
      <c r="CC44" s="845">
        <f t="shared" si="25"/>
        <v>0</v>
      </c>
    </row>
    <row r="45" spans="1:81" ht="12" hidden="1" customHeight="1">
      <c r="A45" s="134">
        <v>38</v>
      </c>
      <c r="B45" s="892">
        <f>Efetivo!B48</f>
        <v>0</v>
      </c>
      <c r="C45" s="554"/>
      <c r="D45" s="893">
        <f>Efetivo!S48</f>
        <v>0</v>
      </c>
      <c r="E45" s="554"/>
      <c r="F45" s="560">
        <f>Efetivo!D48+Efetivo!AV48</f>
        <v>0</v>
      </c>
      <c r="G45" s="155"/>
      <c r="H45" s="160"/>
      <c r="I45" s="161"/>
      <c r="J45" s="162"/>
      <c r="K45" s="156"/>
      <c r="L45" s="560">
        <f>IF(Efetivo!BV48&gt;0,Efetivo!BV48,Efetivo!F48)</f>
        <v>0</v>
      </c>
      <c r="M45" s="557"/>
      <c r="N45" s="893">
        <f t="shared" si="26"/>
        <v>0</v>
      </c>
      <c r="O45" s="558"/>
      <c r="P45" s="893">
        <f t="shared" si="27"/>
        <v>0</v>
      </c>
      <c r="Q45" s="912">
        <f t="shared" si="28"/>
        <v>0</v>
      </c>
      <c r="R45" s="893">
        <f t="shared" si="29"/>
        <v>0</v>
      </c>
      <c r="S45" s="557"/>
      <c r="T45" s="894">
        <f t="shared" si="0"/>
        <v>0</v>
      </c>
      <c r="U45" s="161"/>
      <c r="V45" s="163"/>
      <c r="W45" s="156"/>
      <c r="X45" s="893">
        <f t="shared" si="1"/>
        <v>0</v>
      </c>
      <c r="Y45" s="557"/>
      <c r="Z45" s="893">
        <f t="shared" si="2"/>
        <v>0</v>
      </c>
      <c r="AB45" s="894">
        <f>Efetivo!D48+Efetivo!AV48</f>
        <v>0</v>
      </c>
      <c r="AC45" s="161"/>
      <c r="AD45" s="895"/>
      <c r="AE45" s="156"/>
      <c r="AF45" s="893">
        <f t="shared" si="30"/>
        <v>0</v>
      </c>
      <c r="AG45" s="557"/>
      <c r="AH45" s="893">
        <f t="shared" si="4"/>
        <v>0</v>
      </c>
      <c r="AJ45" s="894">
        <f t="shared" si="5"/>
        <v>0</v>
      </c>
      <c r="AK45" s="161"/>
      <c r="AL45" s="895"/>
      <c r="AM45" s="156"/>
      <c r="AN45" s="893">
        <f t="shared" si="6"/>
        <v>0</v>
      </c>
      <c r="AO45" s="557"/>
      <c r="AP45" s="893">
        <f t="shared" si="7"/>
        <v>0</v>
      </c>
      <c r="AR45" s="894">
        <f t="shared" si="8"/>
        <v>0</v>
      </c>
      <c r="AS45" s="161"/>
      <c r="AT45" s="895"/>
      <c r="AU45" s="156"/>
      <c r="AV45" s="893">
        <f t="shared" si="9"/>
        <v>0</v>
      </c>
      <c r="AW45" s="557"/>
      <c r="AX45" s="893">
        <f t="shared" si="10"/>
        <v>0</v>
      </c>
      <c r="AZ45" s="894">
        <f t="shared" si="11"/>
        <v>0</v>
      </c>
      <c r="BA45" s="161"/>
      <c r="BB45" s="895"/>
      <c r="BC45" s="558"/>
      <c r="BD45" s="893">
        <f t="shared" si="12"/>
        <v>0</v>
      </c>
      <c r="BF45" s="893">
        <f t="shared" si="13"/>
        <v>0</v>
      </c>
      <c r="BH45" s="894">
        <f t="shared" si="14"/>
        <v>0</v>
      </c>
      <c r="BI45" s="161"/>
      <c r="BJ45" s="895"/>
      <c r="BK45" s="156"/>
      <c r="BL45" s="893">
        <f t="shared" si="15"/>
        <v>0</v>
      </c>
      <c r="BM45" s="557"/>
      <c r="BN45" s="893">
        <f t="shared" si="16"/>
        <v>0</v>
      </c>
      <c r="BP45" s="894">
        <f t="shared" si="17"/>
        <v>0</v>
      </c>
      <c r="BQ45" s="161"/>
      <c r="BR45" s="895"/>
      <c r="BS45" s="156"/>
      <c r="BT45" s="893">
        <f t="shared" si="18"/>
        <v>0</v>
      </c>
      <c r="BU45" s="557"/>
      <c r="BV45" s="893">
        <f t="shared" si="19"/>
        <v>0</v>
      </c>
      <c r="BX45" s="845">
        <f t="shared" si="20"/>
        <v>0</v>
      </c>
      <c r="BY45" s="845">
        <f t="shared" si="21"/>
        <v>0</v>
      </c>
      <c r="BZ45" s="845">
        <f t="shared" si="22"/>
        <v>0</v>
      </c>
      <c r="CA45" s="845">
        <f t="shared" si="23"/>
        <v>0</v>
      </c>
      <c r="CB45" s="845">
        <f t="shared" si="24"/>
        <v>0</v>
      </c>
      <c r="CC45" s="845">
        <f t="shared" si="25"/>
        <v>0</v>
      </c>
    </row>
    <row r="46" spans="1:81" ht="12" hidden="1" customHeight="1">
      <c r="A46" s="134">
        <v>39</v>
      </c>
      <c r="B46" s="892">
        <f>Efetivo!B49</f>
        <v>0</v>
      </c>
      <c r="C46" s="554"/>
      <c r="D46" s="893">
        <f>Efetivo!S49</f>
        <v>0</v>
      </c>
      <c r="E46" s="554"/>
      <c r="F46" s="560">
        <f>Efetivo!D49+Efetivo!AV49</f>
        <v>0</v>
      </c>
      <c r="G46" s="155"/>
      <c r="H46" s="160"/>
      <c r="I46" s="161"/>
      <c r="J46" s="162"/>
      <c r="K46" s="156"/>
      <c r="L46" s="560">
        <f>IF(Efetivo!BV49&gt;0,Efetivo!BV49,Efetivo!F49)</f>
        <v>0</v>
      </c>
      <c r="M46" s="557"/>
      <c r="N46" s="893">
        <f t="shared" si="26"/>
        <v>0</v>
      </c>
      <c r="O46" s="558"/>
      <c r="P46" s="893">
        <f t="shared" si="27"/>
        <v>0</v>
      </c>
      <c r="Q46" s="912">
        <f t="shared" si="28"/>
        <v>0</v>
      </c>
      <c r="R46" s="893">
        <f t="shared" si="29"/>
        <v>0</v>
      </c>
      <c r="S46" s="557"/>
      <c r="T46" s="894">
        <f t="shared" si="0"/>
        <v>0</v>
      </c>
      <c r="U46" s="161"/>
      <c r="V46" s="163"/>
      <c r="W46" s="156"/>
      <c r="X46" s="893">
        <f t="shared" si="1"/>
        <v>0</v>
      </c>
      <c r="Y46" s="557"/>
      <c r="Z46" s="893">
        <f t="shared" si="2"/>
        <v>0</v>
      </c>
      <c r="AB46" s="894">
        <f>Efetivo!D49+Efetivo!AV49</f>
        <v>0</v>
      </c>
      <c r="AC46" s="161"/>
      <c r="AD46" s="895"/>
      <c r="AE46" s="156"/>
      <c r="AF46" s="893">
        <f t="shared" si="30"/>
        <v>0</v>
      </c>
      <c r="AG46" s="557"/>
      <c r="AH46" s="893">
        <f t="shared" si="4"/>
        <v>0</v>
      </c>
      <c r="AJ46" s="894">
        <f t="shared" si="5"/>
        <v>0</v>
      </c>
      <c r="AK46" s="161"/>
      <c r="AL46" s="895"/>
      <c r="AM46" s="156"/>
      <c r="AN46" s="893">
        <f t="shared" si="6"/>
        <v>0</v>
      </c>
      <c r="AO46" s="557"/>
      <c r="AP46" s="893">
        <f t="shared" si="7"/>
        <v>0</v>
      </c>
      <c r="AR46" s="894">
        <f t="shared" si="8"/>
        <v>0</v>
      </c>
      <c r="AS46" s="161"/>
      <c r="AT46" s="895"/>
      <c r="AU46" s="156"/>
      <c r="AV46" s="893">
        <f t="shared" si="9"/>
        <v>0</v>
      </c>
      <c r="AW46" s="557"/>
      <c r="AX46" s="893">
        <f t="shared" si="10"/>
        <v>0</v>
      </c>
      <c r="AZ46" s="894">
        <f t="shared" si="11"/>
        <v>0</v>
      </c>
      <c r="BA46" s="161"/>
      <c r="BB46" s="895"/>
      <c r="BC46" s="558"/>
      <c r="BD46" s="893">
        <f t="shared" si="12"/>
        <v>0</v>
      </c>
      <c r="BF46" s="893">
        <f t="shared" si="13"/>
        <v>0</v>
      </c>
      <c r="BH46" s="894">
        <f t="shared" si="14"/>
        <v>0</v>
      </c>
      <c r="BI46" s="161"/>
      <c r="BJ46" s="895"/>
      <c r="BK46" s="156"/>
      <c r="BL46" s="893">
        <f t="shared" si="15"/>
        <v>0</v>
      </c>
      <c r="BM46" s="557"/>
      <c r="BN46" s="893">
        <f t="shared" si="16"/>
        <v>0</v>
      </c>
      <c r="BP46" s="894">
        <f t="shared" si="17"/>
        <v>0</v>
      </c>
      <c r="BQ46" s="161"/>
      <c r="BR46" s="895"/>
      <c r="BS46" s="156"/>
      <c r="BT46" s="893">
        <f t="shared" si="18"/>
        <v>0</v>
      </c>
      <c r="BU46" s="557"/>
      <c r="BV46" s="893">
        <f t="shared" si="19"/>
        <v>0</v>
      </c>
      <c r="BX46" s="845">
        <f t="shared" si="20"/>
        <v>0</v>
      </c>
      <c r="BY46" s="845">
        <f t="shared" si="21"/>
        <v>0</v>
      </c>
      <c r="BZ46" s="845">
        <f t="shared" si="22"/>
        <v>0</v>
      </c>
      <c r="CA46" s="845">
        <f t="shared" si="23"/>
        <v>0</v>
      </c>
      <c r="CB46" s="845">
        <f t="shared" si="24"/>
        <v>0</v>
      </c>
      <c r="CC46" s="845">
        <f t="shared" si="25"/>
        <v>0</v>
      </c>
    </row>
    <row r="47" spans="1:81" ht="12" hidden="1" customHeight="1">
      <c r="A47" s="134">
        <v>40</v>
      </c>
      <c r="B47" s="892">
        <f>Efetivo!B50</f>
        <v>0</v>
      </c>
      <c r="C47" s="554"/>
      <c r="D47" s="893">
        <f>Efetivo!S50</f>
        <v>0</v>
      </c>
      <c r="E47" s="554"/>
      <c r="F47" s="560">
        <f>Efetivo!D50+Efetivo!AV50</f>
        <v>0</v>
      </c>
      <c r="G47" s="155"/>
      <c r="H47" s="160"/>
      <c r="I47" s="161"/>
      <c r="J47" s="162"/>
      <c r="K47" s="156"/>
      <c r="L47" s="560">
        <f>IF(Efetivo!BV50&gt;0,Efetivo!BV50,Efetivo!F50)</f>
        <v>0</v>
      </c>
      <c r="M47" s="557"/>
      <c r="N47" s="893">
        <f t="shared" si="26"/>
        <v>0</v>
      </c>
      <c r="O47" s="558"/>
      <c r="P47" s="893">
        <f t="shared" si="27"/>
        <v>0</v>
      </c>
      <c r="Q47" s="912">
        <f t="shared" si="28"/>
        <v>0</v>
      </c>
      <c r="R47" s="893">
        <f t="shared" si="29"/>
        <v>0</v>
      </c>
      <c r="S47" s="557"/>
      <c r="T47" s="894">
        <f t="shared" si="0"/>
        <v>0</v>
      </c>
      <c r="U47" s="161"/>
      <c r="V47" s="163"/>
      <c r="W47" s="156"/>
      <c r="X47" s="893">
        <f t="shared" si="1"/>
        <v>0</v>
      </c>
      <c r="Y47" s="557"/>
      <c r="Z47" s="893">
        <f t="shared" si="2"/>
        <v>0</v>
      </c>
      <c r="AB47" s="894">
        <f>Efetivo!D50+Efetivo!AV50</f>
        <v>0</v>
      </c>
      <c r="AC47" s="161"/>
      <c r="AD47" s="895"/>
      <c r="AE47" s="156"/>
      <c r="AF47" s="893">
        <f t="shared" si="30"/>
        <v>0</v>
      </c>
      <c r="AG47" s="557"/>
      <c r="AH47" s="893">
        <f t="shared" si="4"/>
        <v>0</v>
      </c>
      <c r="AJ47" s="894">
        <f t="shared" si="5"/>
        <v>0</v>
      </c>
      <c r="AK47" s="161"/>
      <c r="AL47" s="895"/>
      <c r="AM47" s="156"/>
      <c r="AN47" s="893">
        <f t="shared" si="6"/>
        <v>0</v>
      </c>
      <c r="AO47" s="557"/>
      <c r="AP47" s="893">
        <f t="shared" si="7"/>
        <v>0</v>
      </c>
      <c r="AR47" s="894">
        <f t="shared" si="8"/>
        <v>0</v>
      </c>
      <c r="AS47" s="161"/>
      <c r="AT47" s="895"/>
      <c r="AU47" s="156"/>
      <c r="AV47" s="893">
        <f t="shared" si="9"/>
        <v>0</v>
      </c>
      <c r="AW47" s="557"/>
      <c r="AX47" s="893">
        <f t="shared" si="10"/>
        <v>0</v>
      </c>
      <c r="AZ47" s="894">
        <f t="shared" si="11"/>
        <v>0</v>
      </c>
      <c r="BA47" s="161"/>
      <c r="BB47" s="895"/>
      <c r="BC47" s="558"/>
      <c r="BD47" s="893">
        <f t="shared" si="12"/>
        <v>0</v>
      </c>
      <c r="BF47" s="893">
        <f t="shared" si="13"/>
        <v>0</v>
      </c>
      <c r="BH47" s="894">
        <f t="shared" si="14"/>
        <v>0</v>
      </c>
      <c r="BI47" s="161"/>
      <c r="BJ47" s="895"/>
      <c r="BK47" s="156"/>
      <c r="BL47" s="893">
        <f t="shared" si="15"/>
        <v>0</v>
      </c>
      <c r="BM47" s="557"/>
      <c r="BN47" s="893">
        <f t="shared" si="16"/>
        <v>0</v>
      </c>
      <c r="BP47" s="894">
        <f t="shared" si="17"/>
        <v>0</v>
      </c>
      <c r="BQ47" s="161"/>
      <c r="BR47" s="895"/>
      <c r="BS47" s="156"/>
      <c r="BT47" s="893">
        <f t="shared" si="18"/>
        <v>0</v>
      </c>
      <c r="BU47" s="557"/>
      <c r="BV47" s="893">
        <f t="shared" si="19"/>
        <v>0</v>
      </c>
      <c r="BX47" s="845">
        <f t="shared" si="20"/>
        <v>0</v>
      </c>
      <c r="BY47" s="845">
        <f t="shared" si="21"/>
        <v>0</v>
      </c>
      <c r="BZ47" s="845">
        <f t="shared" si="22"/>
        <v>0</v>
      </c>
      <c r="CA47" s="845">
        <f t="shared" si="23"/>
        <v>0</v>
      </c>
      <c r="CB47" s="845">
        <f t="shared" si="24"/>
        <v>0</v>
      </c>
      <c r="CC47" s="845">
        <f t="shared" si="25"/>
        <v>0</v>
      </c>
    </row>
    <row r="48" spans="1:81" ht="12" hidden="1" customHeight="1">
      <c r="A48" s="134">
        <v>41</v>
      </c>
      <c r="B48" s="892">
        <f>Efetivo!B51</f>
        <v>0</v>
      </c>
      <c r="C48" s="554"/>
      <c r="D48" s="893">
        <f>Efetivo!S51</f>
        <v>0</v>
      </c>
      <c r="E48" s="554"/>
      <c r="F48" s="560">
        <f>Efetivo!D51+Efetivo!AV51</f>
        <v>0</v>
      </c>
      <c r="G48" s="155"/>
      <c r="H48" s="160"/>
      <c r="I48" s="161"/>
      <c r="J48" s="162"/>
      <c r="K48" s="156"/>
      <c r="L48" s="560">
        <f>IF(Efetivo!BV51&gt;0,Efetivo!BV51,Efetivo!F51)</f>
        <v>0</v>
      </c>
      <c r="M48" s="557"/>
      <c r="N48" s="893">
        <f t="shared" si="26"/>
        <v>0</v>
      </c>
      <c r="O48" s="558"/>
      <c r="P48" s="893">
        <f t="shared" si="27"/>
        <v>0</v>
      </c>
      <c r="Q48" s="912">
        <f t="shared" si="28"/>
        <v>0</v>
      </c>
      <c r="R48" s="893">
        <f t="shared" si="29"/>
        <v>0</v>
      </c>
      <c r="S48" s="557"/>
      <c r="T48" s="894">
        <f t="shared" si="0"/>
        <v>0</v>
      </c>
      <c r="U48" s="161"/>
      <c r="V48" s="163"/>
      <c r="W48" s="156"/>
      <c r="X48" s="893">
        <f t="shared" si="1"/>
        <v>0</v>
      </c>
      <c r="Y48" s="557"/>
      <c r="Z48" s="893">
        <f t="shared" si="2"/>
        <v>0</v>
      </c>
      <c r="AB48" s="894">
        <f>Efetivo!D51+Efetivo!AV51</f>
        <v>0</v>
      </c>
      <c r="AC48" s="161"/>
      <c r="AD48" s="895"/>
      <c r="AE48" s="156"/>
      <c r="AF48" s="893">
        <f t="shared" si="30"/>
        <v>0</v>
      </c>
      <c r="AG48" s="557"/>
      <c r="AH48" s="893">
        <f t="shared" si="4"/>
        <v>0</v>
      </c>
      <c r="AJ48" s="894">
        <f t="shared" si="5"/>
        <v>0</v>
      </c>
      <c r="AK48" s="161"/>
      <c r="AL48" s="895"/>
      <c r="AM48" s="156"/>
      <c r="AN48" s="893">
        <f t="shared" si="6"/>
        <v>0</v>
      </c>
      <c r="AO48" s="557"/>
      <c r="AP48" s="893">
        <f t="shared" si="7"/>
        <v>0</v>
      </c>
      <c r="AR48" s="894">
        <f t="shared" si="8"/>
        <v>0</v>
      </c>
      <c r="AS48" s="161"/>
      <c r="AT48" s="895"/>
      <c r="AU48" s="156"/>
      <c r="AV48" s="893">
        <f t="shared" si="9"/>
        <v>0</v>
      </c>
      <c r="AW48" s="557"/>
      <c r="AX48" s="893">
        <f t="shared" si="10"/>
        <v>0</v>
      </c>
      <c r="AZ48" s="894">
        <f t="shared" si="11"/>
        <v>0</v>
      </c>
      <c r="BA48" s="161"/>
      <c r="BB48" s="895"/>
      <c r="BC48" s="558"/>
      <c r="BD48" s="893">
        <f t="shared" si="12"/>
        <v>0</v>
      </c>
      <c r="BF48" s="893">
        <f t="shared" si="13"/>
        <v>0</v>
      </c>
      <c r="BH48" s="894">
        <f t="shared" si="14"/>
        <v>0</v>
      </c>
      <c r="BI48" s="161"/>
      <c r="BJ48" s="895"/>
      <c r="BK48" s="156"/>
      <c r="BL48" s="893">
        <f t="shared" si="15"/>
        <v>0</v>
      </c>
      <c r="BM48" s="557"/>
      <c r="BN48" s="893">
        <f t="shared" si="16"/>
        <v>0</v>
      </c>
      <c r="BP48" s="894">
        <f t="shared" si="17"/>
        <v>0</v>
      </c>
      <c r="BQ48" s="161"/>
      <c r="BR48" s="895"/>
      <c r="BS48" s="156"/>
      <c r="BT48" s="893">
        <f t="shared" si="18"/>
        <v>0</v>
      </c>
      <c r="BU48" s="557"/>
      <c r="BV48" s="893">
        <f t="shared" si="19"/>
        <v>0</v>
      </c>
      <c r="BX48" s="845">
        <f t="shared" si="20"/>
        <v>0</v>
      </c>
      <c r="BY48" s="845">
        <f t="shared" si="21"/>
        <v>0</v>
      </c>
      <c r="BZ48" s="845">
        <f t="shared" si="22"/>
        <v>0</v>
      </c>
      <c r="CA48" s="845">
        <f t="shared" si="23"/>
        <v>0</v>
      </c>
      <c r="CB48" s="845">
        <f t="shared" si="24"/>
        <v>0</v>
      </c>
      <c r="CC48" s="845">
        <f t="shared" si="25"/>
        <v>0</v>
      </c>
    </row>
    <row r="49" spans="1:82" ht="12" hidden="1" customHeight="1">
      <c r="A49" s="134">
        <v>42</v>
      </c>
      <c r="B49" s="892">
        <f>Efetivo!B52</f>
        <v>0</v>
      </c>
      <c r="C49" s="554"/>
      <c r="D49" s="893">
        <f>Efetivo!S52</f>
        <v>0</v>
      </c>
      <c r="E49" s="554"/>
      <c r="F49" s="560">
        <f>Efetivo!D52+Efetivo!AV52</f>
        <v>0</v>
      </c>
      <c r="G49" s="155"/>
      <c r="H49" s="160"/>
      <c r="I49" s="161"/>
      <c r="J49" s="162"/>
      <c r="K49" s="156"/>
      <c r="L49" s="560">
        <f>IF(Efetivo!BV52&gt;0,Efetivo!BV52,Efetivo!F52)</f>
        <v>0</v>
      </c>
      <c r="M49" s="557"/>
      <c r="N49" s="893">
        <f t="shared" si="26"/>
        <v>0</v>
      </c>
      <c r="O49" s="558"/>
      <c r="P49" s="893">
        <f t="shared" si="27"/>
        <v>0</v>
      </c>
      <c r="Q49" s="912">
        <f t="shared" si="28"/>
        <v>0</v>
      </c>
      <c r="R49" s="893">
        <f t="shared" si="29"/>
        <v>0</v>
      </c>
      <c r="S49" s="557"/>
      <c r="T49" s="894">
        <f t="shared" si="0"/>
        <v>0</v>
      </c>
      <c r="U49" s="161"/>
      <c r="V49" s="163"/>
      <c r="W49" s="156"/>
      <c r="X49" s="893">
        <f t="shared" si="1"/>
        <v>0</v>
      </c>
      <c r="Y49" s="557"/>
      <c r="Z49" s="893">
        <f t="shared" si="2"/>
        <v>0</v>
      </c>
      <c r="AB49" s="894">
        <f>Efetivo!D52+Efetivo!AV52</f>
        <v>0</v>
      </c>
      <c r="AC49" s="161"/>
      <c r="AD49" s="895"/>
      <c r="AE49" s="156"/>
      <c r="AF49" s="893">
        <f>-(AC49*AD49)</f>
        <v>0</v>
      </c>
      <c r="AG49" s="557"/>
      <c r="AH49" s="893">
        <f t="shared" si="4"/>
        <v>0</v>
      </c>
      <c r="AJ49" s="894">
        <f t="shared" si="5"/>
        <v>0</v>
      </c>
      <c r="AK49" s="161"/>
      <c r="AL49" s="895"/>
      <c r="AM49" s="156"/>
      <c r="AN49" s="893">
        <f t="shared" si="6"/>
        <v>0</v>
      </c>
      <c r="AO49" s="557"/>
      <c r="AP49" s="893">
        <f t="shared" si="7"/>
        <v>0</v>
      </c>
      <c r="AR49" s="894">
        <f t="shared" si="8"/>
        <v>0</v>
      </c>
      <c r="AS49" s="161"/>
      <c r="AT49" s="895"/>
      <c r="AU49" s="156"/>
      <c r="AV49" s="893">
        <f t="shared" si="9"/>
        <v>0</v>
      </c>
      <c r="AW49" s="557"/>
      <c r="AX49" s="893">
        <f t="shared" si="10"/>
        <v>0</v>
      </c>
      <c r="AZ49" s="894">
        <f t="shared" si="11"/>
        <v>0</v>
      </c>
      <c r="BA49" s="161"/>
      <c r="BB49" s="895"/>
      <c r="BC49" s="558"/>
      <c r="BD49" s="893">
        <f t="shared" si="12"/>
        <v>0</v>
      </c>
      <c r="BF49" s="893">
        <f t="shared" si="13"/>
        <v>0</v>
      </c>
      <c r="BH49" s="894">
        <f t="shared" si="14"/>
        <v>0</v>
      </c>
      <c r="BI49" s="161"/>
      <c r="BJ49" s="895"/>
      <c r="BK49" s="156"/>
      <c r="BL49" s="893">
        <f t="shared" si="15"/>
        <v>0</v>
      </c>
      <c r="BM49" s="557"/>
      <c r="BN49" s="893">
        <f t="shared" si="16"/>
        <v>0</v>
      </c>
      <c r="BP49" s="894">
        <f t="shared" si="17"/>
        <v>0</v>
      </c>
      <c r="BQ49" s="161"/>
      <c r="BR49" s="895"/>
      <c r="BS49" s="156"/>
      <c r="BT49" s="893">
        <f t="shared" si="18"/>
        <v>0</v>
      </c>
      <c r="BU49" s="557"/>
      <c r="BV49" s="893">
        <f t="shared" si="19"/>
        <v>0</v>
      </c>
      <c r="BX49" s="845">
        <f t="shared" si="20"/>
        <v>0</v>
      </c>
      <c r="BY49" s="845">
        <f t="shared" si="21"/>
        <v>0</v>
      </c>
      <c r="BZ49" s="845">
        <f t="shared" si="22"/>
        <v>0</v>
      </c>
      <c r="CA49" s="845">
        <f t="shared" si="23"/>
        <v>0</v>
      </c>
      <c r="CB49" s="845">
        <f t="shared" si="24"/>
        <v>0</v>
      </c>
      <c r="CC49" s="845">
        <f t="shared" si="25"/>
        <v>0</v>
      </c>
    </row>
    <row r="50" spans="1:82" ht="12" hidden="1" customHeight="1">
      <c r="A50" s="134">
        <v>43</v>
      </c>
      <c r="B50" s="892">
        <f>Efetivo!B53</f>
        <v>0</v>
      </c>
      <c r="C50" s="554"/>
      <c r="D50" s="893">
        <f>Efetivo!S53</f>
        <v>0</v>
      </c>
      <c r="E50" s="554"/>
      <c r="F50" s="560">
        <f>Efetivo!D53+Efetivo!AV53</f>
        <v>0</v>
      </c>
      <c r="G50" s="155"/>
      <c r="H50" s="160"/>
      <c r="I50" s="161"/>
      <c r="J50" s="162"/>
      <c r="K50" s="156"/>
      <c r="L50" s="560">
        <f>IF(Efetivo!BV53&gt;0,Efetivo!BV53,Efetivo!F53)</f>
        <v>0</v>
      </c>
      <c r="M50" s="557"/>
      <c r="N50" s="893">
        <f t="shared" si="26"/>
        <v>0</v>
      </c>
      <c r="O50" s="558"/>
      <c r="P50" s="893">
        <f t="shared" si="27"/>
        <v>0</v>
      </c>
      <c r="Q50" s="912">
        <f t="shared" si="28"/>
        <v>0</v>
      </c>
      <c r="R50" s="893">
        <f t="shared" si="29"/>
        <v>0</v>
      </c>
      <c r="S50" s="557"/>
      <c r="T50" s="894">
        <f t="shared" si="0"/>
        <v>0</v>
      </c>
      <c r="U50" s="161"/>
      <c r="V50" s="163"/>
      <c r="W50" s="156"/>
      <c r="X50" s="893">
        <f t="shared" si="1"/>
        <v>0</v>
      </c>
      <c r="Y50" s="557"/>
      <c r="Z50" s="893">
        <f t="shared" si="2"/>
        <v>0</v>
      </c>
      <c r="AB50" s="894">
        <f>Efetivo!D53+Efetivo!AV53</f>
        <v>0</v>
      </c>
      <c r="AC50" s="161"/>
      <c r="AD50" s="895"/>
      <c r="AE50" s="156"/>
      <c r="AF50" s="893">
        <f>-(AC50*AD50)</f>
        <v>0</v>
      </c>
      <c r="AG50" s="557"/>
      <c r="AH50" s="893">
        <f t="shared" si="4"/>
        <v>0</v>
      </c>
      <c r="AJ50" s="894">
        <f t="shared" si="5"/>
        <v>0</v>
      </c>
      <c r="AK50" s="161"/>
      <c r="AL50" s="895"/>
      <c r="AM50" s="156"/>
      <c r="AN50" s="893">
        <f t="shared" si="6"/>
        <v>0</v>
      </c>
      <c r="AO50" s="557"/>
      <c r="AP50" s="893">
        <f t="shared" si="7"/>
        <v>0</v>
      </c>
      <c r="AR50" s="894">
        <f t="shared" si="8"/>
        <v>0</v>
      </c>
      <c r="AS50" s="161"/>
      <c r="AT50" s="895"/>
      <c r="AU50" s="156"/>
      <c r="AV50" s="893">
        <f t="shared" si="9"/>
        <v>0</v>
      </c>
      <c r="AW50" s="557"/>
      <c r="AX50" s="893">
        <f t="shared" si="10"/>
        <v>0</v>
      </c>
      <c r="AZ50" s="894">
        <f t="shared" si="11"/>
        <v>0</v>
      </c>
      <c r="BA50" s="161"/>
      <c r="BB50" s="895"/>
      <c r="BC50" s="558"/>
      <c r="BD50" s="893">
        <f t="shared" si="12"/>
        <v>0</v>
      </c>
      <c r="BF50" s="893">
        <f t="shared" si="13"/>
        <v>0</v>
      </c>
      <c r="BH50" s="894">
        <f t="shared" si="14"/>
        <v>0</v>
      </c>
      <c r="BI50" s="161"/>
      <c r="BJ50" s="895"/>
      <c r="BK50" s="156"/>
      <c r="BL50" s="893">
        <f t="shared" si="15"/>
        <v>0</v>
      </c>
      <c r="BM50" s="557"/>
      <c r="BN50" s="893">
        <f t="shared" si="16"/>
        <v>0</v>
      </c>
      <c r="BP50" s="894">
        <f t="shared" si="17"/>
        <v>0</v>
      </c>
      <c r="BQ50" s="161"/>
      <c r="BR50" s="895"/>
      <c r="BS50" s="156"/>
      <c r="BT50" s="893">
        <f t="shared" si="18"/>
        <v>0</v>
      </c>
      <c r="BU50" s="557"/>
      <c r="BV50" s="893">
        <f t="shared" si="19"/>
        <v>0</v>
      </c>
      <c r="BX50" s="845">
        <f t="shared" si="20"/>
        <v>0</v>
      </c>
      <c r="BY50" s="845">
        <f t="shared" si="21"/>
        <v>0</v>
      </c>
      <c r="BZ50" s="845">
        <f t="shared" si="22"/>
        <v>0</v>
      </c>
      <c r="CA50" s="845">
        <f t="shared" si="23"/>
        <v>0</v>
      </c>
      <c r="CB50" s="845">
        <f t="shared" si="24"/>
        <v>0</v>
      </c>
      <c r="CC50" s="845">
        <f t="shared" si="25"/>
        <v>0</v>
      </c>
    </row>
    <row r="51" spans="1:82" ht="12" hidden="1" customHeight="1">
      <c r="A51" s="134">
        <v>44</v>
      </c>
      <c r="B51" s="892">
        <f>Efetivo!B54</f>
        <v>0</v>
      </c>
      <c r="C51" s="554"/>
      <c r="D51" s="893">
        <f>Efetivo!S54</f>
        <v>0</v>
      </c>
      <c r="E51" s="554"/>
      <c r="F51" s="560">
        <f>Efetivo!D54+Efetivo!AV54</f>
        <v>0</v>
      </c>
      <c r="G51" s="155"/>
      <c r="H51" s="160"/>
      <c r="I51" s="161"/>
      <c r="J51" s="162"/>
      <c r="K51" s="156"/>
      <c r="L51" s="560">
        <f>IF(Efetivo!BV54&gt;0,Efetivo!BV54,Efetivo!F54)</f>
        <v>0</v>
      </c>
      <c r="M51" s="559"/>
      <c r="N51" s="893">
        <f t="shared" si="26"/>
        <v>0</v>
      </c>
      <c r="O51" s="558"/>
      <c r="P51" s="893">
        <f>IF(N51+Q51&lt;0,-N51,Q51)</f>
        <v>0</v>
      </c>
      <c r="Q51" s="912">
        <f t="shared" si="28"/>
        <v>0</v>
      </c>
      <c r="R51" s="893">
        <f t="shared" si="29"/>
        <v>0</v>
      </c>
      <c r="S51" s="559"/>
      <c r="T51" s="894">
        <f t="shared" si="0"/>
        <v>0</v>
      </c>
      <c r="U51" s="161"/>
      <c r="V51" s="163"/>
      <c r="W51" s="156"/>
      <c r="X51" s="893">
        <f t="shared" si="1"/>
        <v>0</v>
      </c>
      <c r="Y51" s="559"/>
      <c r="Z51" s="893">
        <f t="shared" si="2"/>
        <v>0</v>
      </c>
      <c r="AA51" s="140"/>
      <c r="AB51" s="894">
        <f>Efetivo!D54+Efetivo!AV54</f>
        <v>0</v>
      </c>
      <c r="AC51" s="161"/>
      <c r="AD51" s="895"/>
      <c r="AE51" s="156"/>
      <c r="AF51" s="893">
        <f>-(AC51*AD51)</f>
        <v>0</v>
      </c>
      <c r="AG51" s="559"/>
      <c r="AH51" s="893">
        <f t="shared" si="4"/>
        <v>0</v>
      </c>
      <c r="AI51" s="140"/>
      <c r="AJ51" s="894">
        <f t="shared" si="5"/>
        <v>0</v>
      </c>
      <c r="AK51" s="161"/>
      <c r="AL51" s="895"/>
      <c r="AM51" s="156"/>
      <c r="AN51" s="893">
        <f t="shared" si="6"/>
        <v>0</v>
      </c>
      <c r="AO51" s="559"/>
      <c r="AP51" s="893">
        <f t="shared" si="7"/>
        <v>0</v>
      </c>
      <c r="AQ51" s="140"/>
      <c r="AR51" s="894">
        <f t="shared" si="8"/>
        <v>0</v>
      </c>
      <c r="AS51" s="161"/>
      <c r="AT51" s="895"/>
      <c r="AU51" s="156"/>
      <c r="AV51" s="893">
        <f t="shared" si="9"/>
        <v>0</v>
      </c>
      <c r="AW51" s="559"/>
      <c r="AX51" s="893">
        <f t="shared" si="10"/>
        <v>0</v>
      </c>
      <c r="AY51" s="140"/>
      <c r="AZ51" s="894">
        <f t="shared" si="11"/>
        <v>0</v>
      </c>
      <c r="BA51" s="161"/>
      <c r="BB51" s="895"/>
      <c r="BC51" s="558"/>
      <c r="BD51" s="893">
        <f t="shared" si="12"/>
        <v>0</v>
      </c>
      <c r="BE51" s="140"/>
      <c r="BF51" s="893">
        <f t="shared" si="13"/>
        <v>0</v>
      </c>
      <c r="BG51" s="140"/>
      <c r="BH51" s="894">
        <f t="shared" si="14"/>
        <v>0</v>
      </c>
      <c r="BI51" s="161"/>
      <c r="BJ51" s="895"/>
      <c r="BK51" s="156"/>
      <c r="BL51" s="893">
        <f t="shared" si="15"/>
        <v>0</v>
      </c>
      <c r="BM51" s="559"/>
      <c r="BN51" s="893">
        <f t="shared" si="16"/>
        <v>0</v>
      </c>
      <c r="BO51" s="140"/>
      <c r="BP51" s="894">
        <f t="shared" si="17"/>
        <v>0</v>
      </c>
      <c r="BQ51" s="161"/>
      <c r="BR51" s="895"/>
      <c r="BS51" s="156"/>
      <c r="BT51" s="893">
        <f t="shared" si="18"/>
        <v>0</v>
      </c>
      <c r="BU51" s="559"/>
      <c r="BV51" s="893">
        <f t="shared" si="19"/>
        <v>0</v>
      </c>
      <c r="BX51" s="845">
        <f t="shared" si="20"/>
        <v>0</v>
      </c>
      <c r="BY51" s="845">
        <f t="shared" si="21"/>
        <v>0</v>
      </c>
      <c r="BZ51" s="845">
        <f t="shared" si="22"/>
        <v>0</v>
      </c>
      <c r="CA51" s="845">
        <f t="shared" si="23"/>
        <v>0</v>
      </c>
      <c r="CB51" s="845">
        <f t="shared" si="24"/>
        <v>0</v>
      </c>
      <c r="CC51" s="845">
        <f t="shared" si="25"/>
        <v>0</v>
      </c>
    </row>
    <row r="52" spans="1:82" s="918" customFormat="1" ht="6" customHeight="1">
      <c r="B52" s="919"/>
      <c r="C52" s="919"/>
      <c r="D52" s="920">
        <f>SUM(F8:F51)</f>
        <v>3</v>
      </c>
      <c r="E52" s="919"/>
      <c r="F52" s="921">
        <f>F53-D52</f>
        <v>0</v>
      </c>
      <c r="G52" s="922"/>
      <c r="H52" s="923">
        <f>H8</f>
        <v>2</v>
      </c>
      <c r="I52" s="924">
        <f>I8</f>
        <v>2.75</v>
      </c>
      <c r="J52" s="925">
        <f>J8</f>
        <v>0.06</v>
      </c>
      <c r="K52" s="926"/>
      <c r="L52" s="927">
        <f>L8</f>
        <v>25</v>
      </c>
      <c r="M52" s="928"/>
      <c r="N52" s="926">
        <f>N8</f>
        <v>137.5</v>
      </c>
      <c r="O52" s="926"/>
      <c r="P52" s="926">
        <f>P8</f>
        <v>-137.5</v>
      </c>
      <c r="Q52" s="928"/>
      <c r="R52" s="926">
        <f t="shared" si="29"/>
        <v>0</v>
      </c>
      <c r="S52" s="928"/>
      <c r="T52" s="927">
        <f>T8</f>
        <v>25</v>
      </c>
      <c r="U52" s="924">
        <f>U8</f>
        <v>16.68</v>
      </c>
      <c r="V52" s="925">
        <f>V8</f>
        <v>0.2</v>
      </c>
      <c r="W52" s="926"/>
      <c r="X52" s="926">
        <f t="shared" si="1"/>
        <v>-3.3360000000000003</v>
      </c>
      <c r="Y52" s="928"/>
      <c r="Z52" s="926">
        <f t="shared" si="2"/>
        <v>0</v>
      </c>
      <c r="AA52" s="928"/>
      <c r="AB52" s="921">
        <f>(AB53-SUM(AB8:AB51))</f>
        <v>0</v>
      </c>
      <c r="AC52" s="921">
        <f>IF(BX53&gt;0,SUM(AC8:AC51)/BX53,0)</f>
        <v>0</v>
      </c>
      <c r="AD52" s="929">
        <f>AD8</f>
        <v>0</v>
      </c>
      <c r="AE52" s="926"/>
      <c r="AF52" s="926">
        <f>-(AC52*AD52)</f>
        <v>0</v>
      </c>
      <c r="AG52" s="928"/>
      <c r="AH52" s="926">
        <f t="shared" si="4"/>
        <v>0</v>
      </c>
      <c r="AI52" s="928"/>
      <c r="AJ52" s="921">
        <f t="shared" si="5"/>
        <v>0</v>
      </c>
      <c r="AK52" s="921">
        <f>IF(BY53&gt;0,SUM(AK8:AK51)/BY53,0)</f>
        <v>0</v>
      </c>
      <c r="AL52" s="929">
        <f>AL8</f>
        <v>0</v>
      </c>
      <c r="AM52" s="926"/>
      <c r="AN52" s="926">
        <f t="shared" si="6"/>
        <v>0</v>
      </c>
      <c r="AO52" s="928"/>
      <c r="AP52" s="926">
        <f t="shared" si="7"/>
        <v>0</v>
      </c>
      <c r="AQ52" s="928"/>
      <c r="AR52" s="921">
        <f>(AR53-SUM(AR8:AR51))</f>
        <v>0</v>
      </c>
      <c r="AS52" s="921">
        <f>IF(BZ53&gt;0,SUM(AS8:AS51)/BZ53,0)</f>
        <v>0</v>
      </c>
      <c r="AT52" s="929">
        <f>AT8</f>
        <v>0</v>
      </c>
      <c r="AU52" s="926"/>
      <c r="AV52" s="926">
        <f t="shared" si="9"/>
        <v>0</v>
      </c>
      <c r="AW52" s="928"/>
      <c r="AX52" s="926">
        <f t="shared" si="10"/>
        <v>0</v>
      </c>
      <c r="AY52" s="928"/>
      <c r="AZ52" s="921">
        <f>(AZ53-SUM(AZ8:AZ51))</f>
        <v>0</v>
      </c>
      <c r="BA52" s="921">
        <f>IF(CA53&gt;0,SUM(BA8:BA51)/CA53,0)</f>
        <v>7.47</v>
      </c>
      <c r="BB52" s="921">
        <f>BB8</f>
        <v>0</v>
      </c>
      <c r="BC52" s="926"/>
      <c r="BD52" s="926">
        <f t="shared" si="12"/>
        <v>0</v>
      </c>
      <c r="BE52" s="928"/>
      <c r="BF52" s="926">
        <f t="shared" si="13"/>
        <v>0</v>
      </c>
      <c r="BG52" s="928"/>
      <c r="BH52" s="921">
        <f>(BH53-SUM(BH8:BH51))</f>
        <v>0</v>
      </c>
      <c r="BI52" s="921">
        <f>IF(CB53&gt;0,SUM(BI8:BI51)/CB53,0)</f>
        <v>0</v>
      </c>
      <c r="BJ52" s="929">
        <f>BJ8</f>
        <v>0</v>
      </c>
      <c r="BK52" s="926"/>
      <c r="BL52" s="926">
        <f t="shared" si="15"/>
        <v>0</v>
      </c>
      <c r="BM52" s="928"/>
      <c r="BN52" s="926">
        <f t="shared" si="16"/>
        <v>0</v>
      </c>
      <c r="BO52" s="928"/>
      <c r="BP52" s="921">
        <f>(BP53-SUM(BP8:BP51))</f>
        <v>0</v>
      </c>
      <c r="BQ52" s="921">
        <f>IF(CC53&gt;0,SUM(BQ8:BQ51)/CC53,0)</f>
        <v>0</v>
      </c>
      <c r="BR52" s="921">
        <f>BR8</f>
        <v>0</v>
      </c>
      <c r="BS52" s="926"/>
      <c r="BT52" s="926">
        <f t="shared" si="18"/>
        <v>0</v>
      </c>
      <c r="BU52" s="928"/>
      <c r="BV52" s="926">
        <f t="shared" si="19"/>
        <v>0</v>
      </c>
      <c r="BX52" s="930"/>
      <c r="BY52" s="930"/>
      <c r="BZ52" s="930"/>
      <c r="CA52" s="930"/>
      <c r="CB52" s="930"/>
      <c r="CC52" s="930"/>
      <c r="CD52" s="930"/>
    </row>
    <row r="53" spans="1:82" ht="18" customHeight="1" thickBot="1">
      <c r="D53" s="159" t="s">
        <v>45</v>
      </c>
      <c r="E53" s="140"/>
      <c r="F53" s="915">
        <f>ROUNDUP(SUM(F8:F51),0)</f>
        <v>3</v>
      </c>
      <c r="L53" s="917"/>
      <c r="Z53" s="159" t="s">
        <v>45</v>
      </c>
      <c r="AA53" s="140"/>
      <c r="AB53" s="556">
        <f>ROUNDUP(SUM(AB8:AB51),0)</f>
        <v>3</v>
      </c>
      <c r="AH53" s="159" t="s">
        <v>45</v>
      </c>
      <c r="AI53" s="140"/>
      <c r="AJ53" s="556">
        <f>ROUNDUP(SUM(AJ8:AJ51),0)</f>
        <v>3</v>
      </c>
      <c r="AO53" s="140"/>
      <c r="AP53" s="165" t="s">
        <v>45</v>
      </c>
      <c r="AQ53" s="140"/>
      <c r="AR53" s="556">
        <f>ROUNDUP(SUM(AR8:AR51),0)</f>
        <v>3</v>
      </c>
      <c r="AX53" s="159" t="s">
        <v>45</v>
      </c>
      <c r="AY53" s="140"/>
      <c r="AZ53" s="556">
        <f>ROUNDUP(SUM(AZ8:AZ51),0)</f>
        <v>3</v>
      </c>
      <c r="BF53" s="159" t="s">
        <v>45</v>
      </c>
      <c r="BH53" s="556">
        <f>ROUNDUP(SUM(BH8:BH51),0)</f>
        <v>3</v>
      </c>
      <c r="BN53" s="159" t="s">
        <v>45</v>
      </c>
      <c r="BP53" s="556">
        <f>ROUNDUP(SUM(BP8:BP51),0)</f>
        <v>3</v>
      </c>
      <c r="BX53" s="845">
        <f t="shared" ref="BX53:CC53" si="31">SUM(BX8:BX51)</f>
        <v>3</v>
      </c>
      <c r="BY53" s="845">
        <f t="shared" si="31"/>
        <v>0</v>
      </c>
      <c r="BZ53" s="845">
        <f t="shared" si="31"/>
        <v>0</v>
      </c>
      <c r="CA53" s="845">
        <f t="shared" si="31"/>
        <v>3</v>
      </c>
      <c r="CB53" s="845">
        <f t="shared" si="31"/>
        <v>0</v>
      </c>
      <c r="CC53" s="845">
        <f t="shared" si="31"/>
        <v>0</v>
      </c>
    </row>
  </sheetData>
  <sheetProtection password="CADB" sheet="1" objects="1" scenarios="1" formatColumns="0" formatRows="0"/>
  <mergeCells count="9">
    <mergeCell ref="BP2:BV2"/>
    <mergeCell ref="D2:E2"/>
    <mergeCell ref="H2:R2"/>
    <mergeCell ref="T2:Z2"/>
    <mergeCell ref="AB2:AH2"/>
    <mergeCell ref="AJ2:AP2"/>
    <mergeCell ref="AR2:AX2"/>
    <mergeCell ref="AZ2:BF2"/>
    <mergeCell ref="BH2:BN2"/>
  </mergeCells>
  <phoneticPr fontId="0" type="noConversion"/>
  <hyperlinks>
    <hyperlink ref="AA2" location="Menu!F10" tooltip="Volta ao menu principal" display="Menu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65" fitToWidth="3" orientation="landscape" horizontalDpi="300" verticalDpi="300" r:id="rId1"/>
  <headerFooter alignWithMargins="0">
    <oddHeader>&amp;R&amp;P/&amp;N</oddHeader>
    <oddFooter>&amp;L&amp;A&amp;R&amp;F</oddFooter>
  </headerFooter>
  <colBreaks count="2" manualBreakCount="2">
    <brk id="27" min="1" max="52" man="1"/>
    <brk id="51" min="1" max="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fitToPage="1"/>
  </sheetPr>
  <dimension ref="B1:V61"/>
  <sheetViews>
    <sheetView workbookViewId="0"/>
  </sheetViews>
  <sheetFormatPr defaultRowHeight="11.25"/>
  <cols>
    <col min="1" max="1" width="5.42578125" style="673" customWidth="1"/>
    <col min="2" max="2" width="8.85546875" style="674" customWidth="1"/>
    <col min="3" max="3" width="25.5703125" style="674" customWidth="1"/>
    <col min="4" max="4" width="28.85546875" style="675" customWidth="1"/>
    <col min="5" max="5" width="7.42578125" style="676" customWidth="1"/>
    <col min="6" max="7" width="7" style="676" customWidth="1"/>
    <col min="8" max="8" width="7.140625" style="676" customWidth="1"/>
    <col min="9" max="9" width="7.42578125" style="676" customWidth="1"/>
    <col min="10" max="10" width="7.7109375" style="676" customWidth="1"/>
    <col min="11" max="15" width="7.5703125" style="676" customWidth="1"/>
    <col min="16" max="16" width="8" style="676" customWidth="1"/>
    <col min="17" max="17" width="9.5703125" style="673" customWidth="1"/>
    <col min="18" max="18" width="7.85546875" style="673" customWidth="1"/>
    <col min="19" max="19" width="7" style="673" customWidth="1"/>
    <col min="20" max="20" width="6.42578125" style="673" customWidth="1"/>
    <col min="21" max="21" width="0.140625" style="673" customWidth="1"/>
    <col min="22" max="22" width="4.42578125" style="824" customWidth="1"/>
    <col min="23" max="23" width="34.28515625" style="673" customWidth="1"/>
    <col min="24" max="16384" width="9.140625" style="673"/>
  </cols>
  <sheetData>
    <row r="1" spans="2:22" s="706" customFormat="1" ht="8.25" customHeight="1"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5"/>
      <c r="V1" s="823"/>
    </row>
    <row r="2" spans="2:22" s="706" customFormat="1" ht="16.5" thickBot="1">
      <c r="D2" s="705"/>
      <c r="E2" s="705"/>
      <c r="F2" s="705"/>
      <c r="G2" s="705"/>
      <c r="H2" s="705"/>
      <c r="I2" s="707" t="s">
        <v>508</v>
      </c>
      <c r="K2" s="705"/>
      <c r="L2" s="705"/>
      <c r="M2" s="705"/>
      <c r="N2" s="708"/>
      <c r="O2" s="705"/>
      <c r="P2" s="705"/>
      <c r="Q2" s="705"/>
      <c r="R2" s="705"/>
      <c r="S2" s="705"/>
      <c r="T2" s="705"/>
      <c r="U2" s="705"/>
      <c r="V2" s="823"/>
    </row>
    <row r="3" spans="2:22" s="706" customFormat="1" ht="19.5" hidden="1" customHeight="1" thickBot="1">
      <c r="B3" s="709"/>
      <c r="C3" s="709"/>
      <c r="D3" s="710"/>
      <c r="E3" s="711"/>
      <c r="F3" s="711"/>
      <c r="G3" s="823">
        <f>IF(G5&gt;0,ROUNDUP((G5*(30/(G5+I5))),0),0)</f>
        <v>26</v>
      </c>
      <c r="H3" s="843">
        <f>IF(G3&gt;0,30-G3,0)</f>
        <v>4</v>
      </c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V3" s="824"/>
    </row>
    <row r="4" spans="2:22" s="706" customFormat="1" ht="12.75" thickTop="1" thickBot="1">
      <c r="B4" s="709"/>
      <c r="C4" s="709"/>
      <c r="D4" s="710"/>
      <c r="E4" s="712"/>
      <c r="F4" s="713" t="s">
        <v>509</v>
      </c>
      <c r="G4" s="1043" t="s">
        <v>455</v>
      </c>
      <c r="H4" s="1044"/>
      <c r="I4" s="1045"/>
      <c r="J4" s="713" t="s">
        <v>509</v>
      </c>
      <c r="K4" s="714" t="s">
        <v>455</v>
      </c>
      <c r="L4" s="715"/>
      <c r="M4" s="715"/>
      <c r="N4" s="721"/>
      <c r="O4" s="722">
        <v>0.5</v>
      </c>
      <c r="P4" s="712"/>
      <c r="V4" s="824"/>
    </row>
    <row r="5" spans="2:22" s="706" customFormat="1" ht="12.75" customHeight="1" thickTop="1" thickBot="1">
      <c r="B5" s="1046" t="s">
        <v>88</v>
      </c>
      <c r="C5" s="1047"/>
      <c r="D5" s="1048"/>
      <c r="E5" s="716" t="s">
        <v>510</v>
      </c>
      <c r="F5" s="677">
        <v>6</v>
      </c>
      <c r="G5" s="678">
        <v>6</v>
      </c>
      <c r="H5" s="717" t="s">
        <v>511</v>
      </c>
      <c r="I5" s="679">
        <v>1</v>
      </c>
      <c r="J5" s="677">
        <v>6</v>
      </c>
      <c r="K5" s="678">
        <v>6</v>
      </c>
      <c r="L5" s="718" t="s">
        <v>511</v>
      </c>
      <c r="M5" s="680">
        <v>1</v>
      </c>
      <c r="N5" s="723">
        <f>IF(K5&gt;0,ROUNDUP((K5*(30/(K5+M5))),0),0)</f>
        <v>26</v>
      </c>
      <c r="O5" s="724">
        <f>IF(N5&gt;0,30-N5,0)</f>
        <v>4</v>
      </c>
      <c r="P5" s="1049" t="s">
        <v>113</v>
      </c>
      <c r="Q5" s="1051" t="s">
        <v>586</v>
      </c>
      <c r="R5" s="1051" t="s">
        <v>585</v>
      </c>
      <c r="S5" s="1049" t="s">
        <v>512</v>
      </c>
      <c r="T5" s="1051" t="s">
        <v>513</v>
      </c>
      <c r="V5" s="824"/>
    </row>
    <row r="6" spans="2:22" s="706" customFormat="1" ht="37.5" customHeight="1" thickTop="1" thickBot="1">
      <c r="B6" s="720" t="s">
        <v>514</v>
      </c>
      <c r="C6" s="842" t="s">
        <v>515</v>
      </c>
      <c r="D6" s="719" t="s">
        <v>587</v>
      </c>
      <c r="E6" s="720" t="s">
        <v>516</v>
      </c>
      <c r="F6" s="720" t="s">
        <v>613</v>
      </c>
      <c r="G6" s="720" t="s">
        <v>517</v>
      </c>
      <c r="H6" s="720" t="s">
        <v>518</v>
      </c>
      <c r="I6" s="720"/>
      <c r="J6" s="720" t="s">
        <v>519</v>
      </c>
      <c r="K6" s="720" t="s">
        <v>520</v>
      </c>
      <c r="L6" s="720" t="s">
        <v>521</v>
      </c>
      <c r="M6" s="720" t="s">
        <v>522</v>
      </c>
      <c r="N6" s="720"/>
      <c r="O6" s="720"/>
      <c r="P6" s="1050"/>
      <c r="Q6" s="1052"/>
      <c r="R6" s="1052"/>
      <c r="S6" s="1050"/>
      <c r="T6" s="1052"/>
      <c r="V6" s="824"/>
    </row>
    <row r="7" spans="2:22" ht="12.75" thickTop="1" thickBot="1">
      <c r="B7" s="689" t="s">
        <v>611</v>
      </c>
      <c r="C7" s="689" t="s">
        <v>612</v>
      </c>
      <c r="D7" s="825" t="str">
        <f>Efetivo!B11</f>
        <v>Biologo Ornitologo (Coord.)</v>
      </c>
      <c r="E7" s="734">
        <v>1</v>
      </c>
      <c r="F7" s="734"/>
      <c r="G7" s="734"/>
      <c r="H7" s="734"/>
      <c r="I7" s="734"/>
      <c r="J7" s="735"/>
      <c r="K7" s="734"/>
      <c r="L7" s="734"/>
      <c r="M7" s="734"/>
      <c r="N7" s="734"/>
      <c r="O7" s="734"/>
      <c r="P7" s="700">
        <f t="shared" ref="P7:P50" si="0">SUM(E7:O7)</f>
        <v>1</v>
      </c>
      <c r="Q7" s="689"/>
      <c r="R7" s="689"/>
      <c r="S7" s="689"/>
      <c r="T7" s="697">
        <f>IF(Efetivo!D11&gt;0,Efetivo!D11,0)</f>
        <v>1</v>
      </c>
    </row>
    <row r="8" spans="2:22" ht="12.75" thickTop="1" thickBot="1">
      <c r="B8" s="690" t="s">
        <v>611</v>
      </c>
      <c r="C8" s="689" t="s">
        <v>612</v>
      </c>
      <c r="D8" s="826" t="str">
        <f>Efetivo!B12</f>
        <v>Veterinário</v>
      </c>
      <c r="E8" s="736"/>
      <c r="F8" s="736">
        <v>1</v>
      </c>
      <c r="G8" s="736"/>
      <c r="H8" s="736"/>
      <c r="I8" s="737"/>
      <c r="J8" s="737"/>
      <c r="K8" s="736"/>
      <c r="L8" s="736"/>
      <c r="M8" s="736"/>
      <c r="N8" s="736"/>
      <c r="O8" s="736"/>
      <c r="P8" s="701">
        <f t="shared" si="0"/>
        <v>1</v>
      </c>
      <c r="Q8" s="690"/>
      <c r="R8" s="690"/>
      <c r="S8" s="690"/>
      <c r="T8" s="698">
        <f>IF(Efetivo!D12&gt;0,Efetivo!D12,0)</f>
        <v>1</v>
      </c>
    </row>
    <row r="9" spans="2:22" ht="12" thickTop="1">
      <c r="B9" s="690" t="s">
        <v>611</v>
      </c>
      <c r="C9" s="689" t="s">
        <v>612</v>
      </c>
      <c r="D9" s="826" t="str">
        <f>Efetivo!B13</f>
        <v>Falcoeiro</v>
      </c>
      <c r="E9" s="736">
        <v>1</v>
      </c>
      <c r="F9" s="736"/>
      <c r="G9" s="736"/>
      <c r="H9" s="736"/>
      <c r="I9" s="737"/>
      <c r="J9" s="737"/>
      <c r="K9" s="736"/>
      <c r="L9" s="736"/>
      <c r="M9" s="736"/>
      <c r="N9" s="736"/>
      <c r="O9" s="736"/>
      <c r="P9" s="701">
        <f t="shared" si="0"/>
        <v>1</v>
      </c>
      <c r="Q9" s="690"/>
      <c r="R9" s="690"/>
      <c r="S9" s="690"/>
      <c r="T9" s="698">
        <f>IF(Efetivo!D13&gt;0,Efetivo!D13,0)</f>
        <v>1</v>
      </c>
    </row>
    <row r="10" spans="2:22">
      <c r="B10" s="690"/>
      <c r="C10" s="690"/>
      <c r="D10" s="826">
        <f>Efetivo!B14</f>
        <v>0</v>
      </c>
      <c r="E10" s="736"/>
      <c r="F10" s="736"/>
      <c r="G10" s="736"/>
      <c r="H10" s="736"/>
      <c r="I10" s="737"/>
      <c r="J10" s="737"/>
      <c r="K10" s="736"/>
      <c r="L10" s="736"/>
      <c r="M10" s="736"/>
      <c r="N10" s="736"/>
      <c r="O10" s="736"/>
      <c r="P10" s="701">
        <f t="shared" si="0"/>
        <v>0</v>
      </c>
      <c r="Q10" s="690"/>
      <c r="R10" s="690"/>
      <c r="S10" s="690"/>
      <c r="T10" s="698">
        <f>IF(Efetivo!D14&gt;0,Efetivo!D14,0)</f>
        <v>0</v>
      </c>
    </row>
    <row r="11" spans="2:22" hidden="1">
      <c r="B11" s="690"/>
      <c r="C11" s="690"/>
      <c r="D11" s="826">
        <f>Efetivo!B15</f>
        <v>0</v>
      </c>
      <c r="E11" s="737"/>
      <c r="F11" s="736"/>
      <c r="G11" s="736"/>
      <c r="H11" s="736"/>
      <c r="I11" s="737"/>
      <c r="J11" s="737"/>
      <c r="K11" s="736"/>
      <c r="L11" s="736"/>
      <c r="M11" s="736"/>
      <c r="N11" s="736"/>
      <c r="O11" s="736"/>
      <c r="P11" s="701">
        <f t="shared" si="0"/>
        <v>0</v>
      </c>
      <c r="Q11" s="690"/>
      <c r="R11" s="690"/>
      <c r="S11" s="690"/>
      <c r="T11" s="698">
        <f>IF(Efetivo!D15&gt;0,Efetivo!D15,0)</f>
        <v>0</v>
      </c>
    </row>
    <row r="12" spans="2:22" hidden="1">
      <c r="B12" s="690"/>
      <c r="C12" s="690"/>
      <c r="D12" s="826">
        <f>Efetivo!B16</f>
        <v>0</v>
      </c>
      <c r="E12" s="737"/>
      <c r="F12" s="736"/>
      <c r="G12" s="736"/>
      <c r="H12" s="736"/>
      <c r="I12" s="737"/>
      <c r="J12" s="737"/>
      <c r="K12" s="736"/>
      <c r="L12" s="736"/>
      <c r="M12" s="736"/>
      <c r="N12" s="736"/>
      <c r="O12" s="736"/>
      <c r="P12" s="701">
        <f t="shared" si="0"/>
        <v>0</v>
      </c>
      <c r="Q12" s="690"/>
      <c r="R12" s="690"/>
      <c r="S12" s="690"/>
      <c r="T12" s="698">
        <f>IF(Efetivo!D16&gt;0,Efetivo!D16,0)</f>
        <v>0</v>
      </c>
    </row>
    <row r="13" spans="2:22" hidden="1">
      <c r="B13" s="690"/>
      <c r="C13" s="690"/>
      <c r="D13" s="826">
        <f>Efetivo!B17</f>
        <v>0</v>
      </c>
      <c r="E13" s="736"/>
      <c r="F13" s="736"/>
      <c r="G13" s="736"/>
      <c r="H13" s="736"/>
      <c r="I13" s="737"/>
      <c r="J13" s="737"/>
      <c r="K13" s="736"/>
      <c r="L13" s="736"/>
      <c r="M13" s="736"/>
      <c r="N13" s="736"/>
      <c r="O13" s="736"/>
      <c r="P13" s="701">
        <f t="shared" si="0"/>
        <v>0</v>
      </c>
      <c r="Q13" s="690"/>
      <c r="R13" s="690"/>
      <c r="S13" s="690"/>
      <c r="T13" s="698">
        <f>IF(Efetivo!D17&gt;0,Efetivo!D17,0)</f>
        <v>0</v>
      </c>
    </row>
    <row r="14" spans="2:22" hidden="1">
      <c r="B14" s="690"/>
      <c r="C14" s="690"/>
      <c r="D14" s="826">
        <f>Efetivo!B18</f>
        <v>0</v>
      </c>
      <c r="E14" s="737"/>
      <c r="F14" s="736"/>
      <c r="G14" s="736"/>
      <c r="H14" s="736"/>
      <c r="I14" s="737"/>
      <c r="J14" s="737"/>
      <c r="K14" s="736"/>
      <c r="L14" s="736"/>
      <c r="M14" s="736"/>
      <c r="N14" s="736"/>
      <c r="O14" s="736"/>
      <c r="P14" s="701">
        <f t="shared" si="0"/>
        <v>0</v>
      </c>
      <c r="Q14" s="690"/>
      <c r="R14" s="690"/>
      <c r="S14" s="690"/>
      <c r="T14" s="698">
        <f>IF(Efetivo!D18&gt;0,Efetivo!D18,0)</f>
        <v>0</v>
      </c>
    </row>
    <row r="15" spans="2:22" hidden="1">
      <c r="B15" s="690"/>
      <c r="C15" s="690"/>
      <c r="D15" s="826">
        <f>Efetivo!B19</f>
        <v>0</v>
      </c>
      <c r="E15" s="737"/>
      <c r="F15" s="736"/>
      <c r="G15" s="736"/>
      <c r="H15" s="736"/>
      <c r="I15" s="737"/>
      <c r="J15" s="737"/>
      <c r="K15" s="736"/>
      <c r="L15" s="736"/>
      <c r="M15" s="736"/>
      <c r="N15" s="736"/>
      <c r="O15" s="736"/>
      <c r="P15" s="701">
        <f t="shared" si="0"/>
        <v>0</v>
      </c>
      <c r="Q15" s="690"/>
      <c r="R15" s="690"/>
      <c r="S15" s="690"/>
      <c r="T15" s="698">
        <f>IF(Efetivo!D19&gt;0,Efetivo!D19,0)</f>
        <v>0</v>
      </c>
    </row>
    <row r="16" spans="2:22" hidden="1">
      <c r="B16" s="690"/>
      <c r="C16" s="690"/>
      <c r="D16" s="826">
        <f>Efetivo!B20</f>
        <v>0</v>
      </c>
      <c r="E16" s="736"/>
      <c r="F16" s="736"/>
      <c r="G16" s="736"/>
      <c r="H16" s="736"/>
      <c r="I16" s="737"/>
      <c r="J16" s="737"/>
      <c r="K16" s="736"/>
      <c r="L16" s="736"/>
      <c r="M16" s="736"/>
      <c r="N16" s="736"/>
      <c r="O16" s="736"/>
      <c r="P16" s="701">
        <f t="shared" si="0"/>
        <v>0</v>
      </c>
      <c r="Q16" s="690"/>
      <c r="R16" s="690"/>
      <c r="S16" s="690"/>
      <c r="T16" s="698">
        <f>IF(Efetivo!D20&gt;0,Efetivo!D20,0)</f>
        <v>0</v>
      </c>
    </row>
    <row r="17" spans="2:20" hidden="1">
      <c r="B17" s="690"/>
      <c r="C17" s="690"/>
      <c r="D17" s="826">
        <f>Efetivo!B21</f>
        <v>0</v>
      </c>
      <c r="E17" s="736"/>
      <c r="F17" s="736"/>
      <c r="G17" s="736"/>
      <c r="H17" s="736"/>
      <c r="I17" s="737"/>
      <c r="J17" s="737"/>
      <c r="K17" s="736"/>
      <c r="L17" s="736"/>
      <c r="M17" s="736"/>
      <c r="N17" s="736"/>
      <c r="O17" s="736"/>
      <c r="P17" s="701">
        <f t="shared" si="0"/>
        <v>0</v>
      </c>
      <c r="Q17" s="690"/>
      <c r="R17" s="690"/>
      <c r="S17" s="690"/>
      <c r="T17" s="698">
        <f>IF(Efetivo!D21&gt;0,Efetivo!D21,0)</f>
        <v>0</v>
      </c>
    </row>
    <row r="18" spans="2:20" hidden="1">
      <c r="B18" s="690"/>
      <c r="C18" s="690"/>
      <c r="D18" s="826">
        <f>Efetivo!B22</f>
        <v>0</v>
      </c>
      <c r="E18" s="736"/>
      <c r="F18" s="736"/>
      <c r="G18" s="736"/>
      <c r="H18" s="736"/>
      <c r="I18" s="737"/>
      <c r="J18" s="737"/>
      <c r="K18" s="736"/>
      <c r="L18" s="736"/>
      <c r="M18" s="736"/>
      <c r="N18" s="736"/>
      <c r="O18" s="736"/>
      <c r="P18" s="701">
        <f t="shared" si="0"/>
        <v>0</v>
      </c>
      <c r="Q18" s="690"/>
      <c r="R18" s="690"/>
      <c r="S18" s="690"/>
      <c r="T18" s="698">
        <f>IF(Efetivo!D22&gt;0,Efetivo!D22,0)</f>
        <v>0</v>
      </c>
    </row>
    <row r="19" spans="2:20" hidden="1">
      <c r="B19" s="690"/>
      <c r="C19" s="690"/>
      <c r="D19" s="826">
        <f>Efetivo!B23</f>
        <v>0</v>
      </c>
      <c r="E19" s="736"/>
      <c r="F19" s="736"/>
      <c r="G19" s="736"/>
      <c r="H19" s="736"/>
      <c r="I19" s="737"/>
      <c r="J19" s="737"/>
      <c r="K19" s="736"/>
      <c r="L19" s="736"/>
      <c r="M19" s="736"/>
      <c r="N19" s="736"/>
      <c r="O19" s="736"/>
      <c r="P19" s="701">
        <f t="shared" si="0"/>
        <v>0</v>
      </c>
      <c r="Q19" s="690"/>
      <c r="R19" s="690"/>
      <c r="S19" s="690"/>
      <c r="T19" s="698">
        <f>IF(Efetivo!D23&gt;0,Efetivo!D23,0)</f>
        <v>0</v>
      </c>
    </row>
    <row r="20" spans="2:20" hidden="1">
      <c r="B20" s="690"/>
      <c r="C20" s="690"/>
      <c r="D20" s="826">
        <f>Efetivo!B24</f>
        <v>0</v>
      </c>
      <c r="E20" s="736"/>
      <c r="F20" s="736"/>
      <c r="G20" s="736"/>
      <c r="H20" s="736"/>
      <c r="I20" s="737"/>
      <c r="J20" s="737"/>
      <c r="K20" s="736"/>
      <c r="L20" s="736"/>
      <c r="M20" s="736"/>
      <c r="N20" s="736"/>
      <c r="O20" s="736"/>
      <c r="P20" s="701">
        <f t="shared" si="0"/>
        <v>0</v>
      </c>
      <c r="Q20" s="690"/>
      <c r="R20" s="690"/>
      <c r="S20" s="690"/>
      <c r="T20" s="698">
        <f>IF(Efetivo!D24&gt;0,Efetivo!D24,0)</f>
        <v>0</v>
      </c>
    </row>
    <row r="21" spans="2:20" hidden="1">
      <c r="B21" s="690"/>
      <c r="C21" s="690"/>
      <c r="D21" s="826">
        <f>Efetivo!B25</f>
        <v>0</v>
      </c>
      <c r="E21" s="736"/>
      <c r="F21" s="736"/>
      <c r="G21" s="736"/>
      <c r="H21" s="736"/>
      <c r="I21" s="737"/>
      <c r="J21" s="737"/>
      <c r="K21" s="736"/>
      <c r="L21" s="736"/>
      <c r="M21" s="736"/>
      <c r="N21" s="736"/>
      <c r="O21" s="736"/>
      <c r="P21" s="701">
        <f t="shared" si="0"/>
        <v>0</v>
      </c>
      <c r="Q21" s="690"/>
      <c r="R21" s="690"/>
      <c r="S21" s="690"/>
      <c r="T21" s="698">
        <f>IF(Efetivo!D25&gt;0,Efetivo!D25,0)</f>
        <v>0</v>
      </c>
    </row>
    <row r="22" spans="2:20" hidden="1">
      <c r="B22" s="690"/>
      <c r="C22" s="690"/>
      <c r="D22" s="826">
        <f>Efetivo!B26</f>
        <v>0</v>
      </c>
      <c r="E22" s="736"/>
      <c r="F22" s="736"/>
      <c r="G22" s="736"/>
      <c r="H22" s="736"/>
      <c r="I22" s="737"/>
      <c r="J22" s="737"/>
      <c r="K22" s="736"/>
      <c r="L22" s="736"/>
      <c r="M22" s="736"/>
      <c r="N22" s="736"/>
      <c r="O22" s="736"/>
      <c r="P22" s="701">
        <f t="shared" si="0"/>
        <v>0</v>
      </c>
      <c r="Q22" s="690"/>
      <c r="R22" s="690"/>
      <c r="S22" s="690"/>
      <c r="T22" s="698">
        <f>IF(Efetivo!D26&gt;0,Efetivo!D26,0)</f>
        <v>0</v>
      </c>
    </row>
    <row r="23" spans="2:20" hidden="1">
      <c r="B23" s="690"/>
      <c r="C23" s="690"/>
      <c r="D23" s="826">
        <f>Efetivo!B27</f>
        <v>0</v>
      </c>
      <c r="E23" s="736"/>
      <c r="F23" s="736"/>
      <c r="G23" s="736"/>
      <c r="H23" s="736"/>
      <c r="I23" s="737"/>
      <c r="J23" s="737"/>
      <c r="K23" s="736"/>
      <c r="L23" s="736"/>
      <c r="M23" s="736"/>
      <c r="N23" s="736"/>
      <c r="O23" s="736"/>
      <c r="P23" s="701">
        <f t="shared" si="0"/>
        <v>0</v>
      </c>
      <c r="Q23" s="690"/>
      <c r="R23" s="690"/>
      <c r="S23" s="690"/>
      <c r="T23" s="698">
        <f>IF(Efetivo!D27&gt;0,Efetivo!D27,0)</f>
        <v>0</v>
      </c>
    </row>
    <row r="24" spans="2:20" hidden="1">
      <c r="B24" s="690"/>
      <c r="C24" s="690"/>
      <c r="D24" s="826">
        <f>Efetivo!B28</f>
        <v>0</v>
      </c>
      <c r="E24" s="736"/>
      <c r="F24" s="736"/>
      <c r="G24" s="736"/>
      <c r="H24" s="736"/>
      <c r="I24" s="737"/>
      <c r="J24" s="737"/>
      <c r="K24" s="736"/>
      <c r="L24" s="736"/>
      <c r="M24" s="736"/>
      <c r="N24" s="736"/>
      <c r="O24" s="736"/>
      <c r="P24" s="701">
        <f t="shared" si="0"/>
        <v>0</v>
      </c>
      <c r="Q24" s="690"/>
      <c r="R24" s="690"/>
      <c r="S24" s="690"/>
      <c r="T24" s="698">
        <f>IF(Efetivo!D28&gt;0,Efetivo!D28,0)</f>
        <v>0</v>
      </c>
    </row>
    <row r="25" spans="2:20" hidden="1">
      <c r="B25" s="690"/>
      <c r="C25" s="690"/>
      <c r="D25" s="826">
        <f>Efetivo!B29</f>
        <v>0</v>
      </c>
      <c r="E25" s="736"/>
      <c r="F25" s="736"/>
      <c r="G25" s="736"/>
      <c r="H25" s="736"/>
      <c r="I25" s="737"/>
      <c r="J25" s="737"/>
      <c r="K25" s="736"/>
      <c r="L25" s="736"/>
      <c r="M25" s="736"/>
      <c r="N25" s="736"/>
      <c r="O25" s="736"/>
      <c r="P25" s="701">
        <f t="shared" si="0"/>
        <v>0</v>
      </c>
      <c r="Q25" s="690"/>
      <c r="R25" s="690"/>
      <c r="S25" s="690"/>
      <c r="T25" s="698">
        <f>IF(Efetivo!D29&gt;0,Efetivo!D29,0)</f>
        <v>0</v>
      </c>
    </row>
    <row r="26" spans="2:20" hidden="1">
      <c r="B26" s="690"/>
      <c r="C26" s="690"/>
      <c r="D26" s="826">
        <f>Efetivo!B30</f>
        <v>0</v>
      </c>
      <c r="E26" s="737"/>
      <c r="F26" s="736"/>
      <c r="G26" s="736"/>
      <c r="H26" s="736"/>
      <c r="I26" s="737"/>
      <c r="J26" s="736"/>
      <c r="K26" s="736"/>
      <c r="L26" s="736"/>
      <c r="M26" s="736"/>
      <c r="N26" s="736"/>
      <c r="O26" s="736"/>
      <c r="P26" s="701">
        <f t="shared" si="0"/>
        <v>0</v>
      </c>
      <c r="Q26" s="690"/>
      <c r="R26" s="690"/>
      <c r="S26" s="690"/>
      <c r="T26" s="698">
        <f>IF(Efetivo!D30&gt;0,Efetivo!D30,0)</f>
        <v>0</v>
      </c>
    </row>
    <row r="27" spans="2:20" hidden="1">
      <c r="B27" s="690"/>
      <c r="C27" s="690"/>
      <c r="D27" s="826">
        <f>Efetivo!B31</f>
        <v>0</v>
      </c>
      <c r="E27" s="737"/>
      <c r="F27" s="736"/>
      <c r="G27" s="736"/>
      <c r="H27" s="736"/>
      <c r="I27" s="737"/>
      <c r="J27" s="736"/>
      <c r="K27" s="736"/>
      <c r="L27" s="736"/>
      <c r="M27" s="736"/>
      <c r="N27" s="736"/>
      <c r="O27" s="736"/>
      <c r="P27" s="701">
        <f t="shared" si="0"/>
        <v>0</v>
      </c>
      <c r="Q27" s="690"/>
      <c r="R27" s="690"/>
      <c r="S27" s="690"/>
      <c r="T27" s="698">
        <f>IF(Efetivo!D31&gt;0,Efetivo!D31,0)</f>
        <v>0</v>
      </c>
    </row>
    <row r="28" spans="2:20" hidden="1">
      <c r="B28" s="690"/>
      <c r="C28" s="690"/>
      <c r="D28" s="826">
        <f>Efetivo!B32</f>
        <v>0</v>
      </c>
      <c r="E28" s="736"/>
      <c r="F28" s="736"/>
      <c r="G28" s="736"/>
      <c r="H28" s="736"/>
      <c r="I28" s="737"/>
      <c r="J28" s="737"/>
      <c r="K28" s="736"/>
      <c r="L28" s="736"/>
      <c r="M28" s="736"/>
      <c r="N28" s="736"/>
      <c r="O28" s="736"/>
      <c r="P28" s="701">
        <f t="shared" si="0"/>
        <v>0</v>
      </c>
      <c r="Q28" s="690"/>
      <c r="R28" s="690"/>
      <c r="S28" s="690"/>
      <c r="T28" s="698">
        <f>IF(Efetivo!D32&gt;0,Efetivo!D32,0)</f>
        <v>0</v>
      </c>
    </row>
    <row r="29" spans="2:20" hidden="1">
      <c r="B29" s="690"/>
      <c r="C29" s="690"/>
      <c r="D29" s="826">
        <f>Efetivo!B33</f>
        <v>0</v>
      </c>
      <c r="E29" s="736"/>
      <c r="F29" s="736"/>
      <c r="G29" s="736"/>
      <c r="H29" s="736"/>
      <c r="I29" s="737"/>
      <c r="J29" s="737"/>
      <c r="K29" s="736"/>
      <c r="L29" s="736"/>
      <c r="M29" s="736"/>
      <c r="N29" s="736"/>
      <c r="O29" s="736"/>
      <c r="P29" s="701">
        <f t="shared" si="0"/>
        <v>0</v>
      </c>
      <c r="Q29" s="690"/>
      <c r="R29" s="690"/>
      <c r="S29" s="690"/>
      <c r="T29" s="698">
        <f>IF(Efetivo!D33&gt;0,Efetivo!D33,0)</f>
        <v>0</v>
      </c>
    </row>
    <row r="30" spans="2:20" hidden="1">
      <c r="B30" s="690"/>
      <c r="C30" s="690"/>
      <c r="D30" s="826">
        <f>Efetivo!B34</f>
        <v>0</v>
      </c>
      <c r="E30" s="736"/>
      <c r="F30" s="736"/>
      <c r="G30" s="736"/>
      <c r="H30" s="736"/>
      <c r="I30" s="737"/>
      <c r="J30" s="737"/>
      <c r="K30" s="736"/>
      <c r="L30" s="736"/>
      <c r="M30" s="736"/>
      <c r="N30" s="736"/>
      <c r="O30" s="736"/>
      <c r="P30" s="701">
        <f t="shared" si="0"/>
        <v>0</v>
      </c>
      <c r="Q30" s="690"/>
      <c r="R30" s="690"/>
      <c r="S30" s="690"/>
      <c r="T30" s="698">
        <f>IF(Efetivo!D34&gt;0,Efetivo!D34,0)</f>
        <v>0</v>
      </c>
    </row>
    <row r="31" spans="2:20" hidden="1">
      <c r="B31" s="690"/>
      <c r="C31" s="690"/>
      <c r="D31" s="826">
        <f>Efetivo!B35</f>
        <v>0</v>
      </c>
      <c r="E31" s="736"/>
      <c r="F31" s="736"/>
      <c r="G31" s="736"/>
      <c r="H31" s="736"/>
      <c r="I31" s="737"/>
      <c r="J31" s="737"/>
      <c r="K31" s="736"/>
      <c r="L31" s="736"/>
      <c r="M31" s="736"/>
      <c r="N31" s="736"/>
      <c r="O31" s="736"/>
      <c r="P31" s="701">
        <f t="shared" si="0"/>
        <v>0</v>
      </c>
      <c r="Q31" s="690"/>
      <c r="R31" s="690"/>
      <c r="S31" s="690"/>
      <c r="T31" s="698">
        <f>IF(Efetivo!D35&gt;0,Efetivo!D35,0)</f>
        <v>0</v>
      </c>
    </row>
    <row r="32" spans="2:20" hidden="1">
      <c r="B32" s="690"/>
      <c r="C32" s="690"/>
      <c r="D32" s="826">
        <f>Efetivo!B36</f>
        <v>0</v>
      </c>
      <c r="E32" s="736"/>
      <c r="F32" s="736"/>
      <c r="G32" s="736"/>
      <c r="H32" s="736"/>
      <c r="I32" s="737"/>
      <c r="J32" s="737"/>
      <c r="K32" s="736"/>
      <c r="L32" s="736"/>
      <c r="M32" s="736"/>
      <c r="N32" s="736"/>
      <c r="O32" s="736"/>
      <c r="P32" s="701">
        <f t="shared" si="0"/>
        <v>0</v>
      </c>
      <c r="Q32" s="690"/>
      <c r="R32" s="690"/>
      <c r="S32" s="690"/>
      <c r="T32" s="698">
        <f>IF(Efetivo!D36&gt;0,Efetivo!D36,0)</f>
        <v>0</v>
      </c>
    </row>
    <row r="33" spans="2:20" hidden="1">
      <c r="B33" s="690"/>
      <c r="C33" s="690"/>
      <c r="D33" s="826">
        <f>Efetivo!B37</f>
        <v>0</v>
      </c>
      <c r="E33" s="736"/>
      <c r="F33" s="736"/>
      <c r="G33" s="736"/>
      <c r="H33" s="736"/>
      <c r="I33" s="737"/>
      <c r="J33" s="737"/>
      <c r="K33" s="736"/>
      <c r="L33" s="736"/>
      <c r="M33" s="736"/>
      <c r="N33" s="736"/>
      <c r="O33" s="736"/>
      <c r="P33" s="701">
        <f t="shared" si="0"/>
        <v>0</v>
      </c>
      <c r="Q33" s="690"/>
      <c r="R33" s="690"/>
      <c r="S33" s="690"/>
      <c r="T33" s="698">
        <f>IF(Efetivo!D37&gt;0,Efetivo!D37,0)</f>
        <v>0</v>
      </c>
    </row>
    <row r="34" spans="2:20" hidden="1">
      <c r="B34" s="690"/>
      <c r="C34" s="690"/>
      <c r="D34" s="826">
        <f>Efetivo!B38</f>
        <v>0</v>
      </c>
      <c r="E34" s="737"/>
      <c r="F34" s="736"/>
      <c r="G34" s="736"/>
      <c r="H34" s="736"/>
      <c r="I34" s="737"/>
      <c r="J34" s="736"/>
      <c r="K34" s="736"/>
      <c r="L34" s="736"/>
      <c r="M34" s="736"/>
      <c r="N34" s="736"/>
      <c r="O34" s="736"/>
      <c r="P34" s="701">
        <f t="shared" si="0"/>
        <v>0</v>
      </c>
      <c r="Q34" s="690"/>
      <c r="R34" s="690"/>
      <c r="S34" s="690"/>
      <c r="T34" s="698">
        <f>IF(Efetivo!D38&gt;0,Efetivo!D38,0)</f>
        <v>0</v>
      </c>
    </row>
    <row r="35" spans="2:20" hidden="1">
      <c r="B35" s="690"/>
      <c r="C35" s="690"/>
      <c r="D35" s="826">
        <f>Efetivo!B39</f>
        <v>0</v>
      </c>
      <c r="E35" s="736"/>
      <c r="F35" s="736"/>
      <c r="G35" s="736"/>
      <c r="H35" s="736"/>
      <c r="I35" s="737"/>
      <c r="J35" s="737"/>
      <c r="K35" s="736"/>
      <c r="L35" s="736"/>
      <c r="M35" s="736"/>
      <c r="N35" s="736"/>
      <c r="O35" s="736"/>
      <c r="P35" s="701">
        <f t="shared" si="0"/>
        <v>0</v>
      </c>
      <c r="Q35" s="690"/>
      <c r="R35" s="690"/>
      <c r="S35" s="690"/>
      <c r="T35" s="698">
        <f>IF(Efetivo!D39&gt;0,Efetivo!D39,0)</f>
        <v>0</v>
      </c>
    </row>
    <row r="36" spans="2:20" hidden="1">
      <c r="B36" s="690"/>
      <c r="C36" s="690"/>
      <c r="D36" s="826">
        <f>Efetivo!B40</f>
        <v>0</v>
      </c>
      <c r="E36" s="736"/>
      <c r="F36" s="736"/>
      <c r="G36" s="736"/>
      <c r="H36" s="736"/>
      <c r="I36" s="737"/>
      <c r="J36" s="737"/>
      <c r="K36" s="736"/>
      <c r="L36" s="736"/>
      <c r="M36" s="736"/>
      <c r="N36" s="736"/>
      <c r="O36" s="736"/>
      <c r="P36" s="701">
        <f t="shared" si="0"/>
        <v>0</v>
      </c>
      <c r="Q36" s="690"/>
      <c r="R36" s="690"/>
      <c r="S36" s="690"/>
      <c r="T36" s="698">
        <f>IF(Efetivo!D40&gt;0,Efetivo!D40,0)</f>
        <v>0</v>
      </c>
    </row>
    <row r="37" spans="2:20" hidden="1">
      <c r="B37" s="690"/>
      <c r="C37" s="690"/>
      <c r="D37" s="826">
        <f>Efetivo!B41</f>
        <v>0</v>
      </c>
      <c r="E37" s="736"/>
      <c r="F37" s="736"/>
      <c r="G37" s="736"/>
      <c r="H37" s="736"/>
      <c r="I37" s="737"/>
      <c r="J37" s="737"/>
      <c r="K37" s="736"/>
      <c r="L37" s="736"/>
      <c r="M37" s="736"/>
      <c r="N37" s="736"/>
      <c r="O37" s="736"/>
      <c r="P37" s="701">
        <f t="shared" si="0"/>
        <v>0</v>
      </c>
      <c r="Q37" s="690"/>
      <c r="R37" s="690"/>
      <c r="S37" s="690"/>
      <c r="T37" s="698">
        <f>IF(Efetivo!D41&gt;0,Efetivo!D41,0)</f>
        <v>0</v>
      </c>
    </row>
    <row r="38" spans="2:20" hidden="1">
      <c r="B38" s="690"/>
      <c r="C38" s="690"/>
      <c r="D38" s="826">
        <f>Efetivo!B42</f>
        <v>0</v>
      </c>
      <c r="E38" s="736"/>
      <c r="F38" s="736"/>
      <c r="G38" s="736"/>
      <c r="H38" s="736"/>
      <c r="I38" s="737"/>
      <c r="J38" s="737"/>
      <c r="K38" s="736"/>
      <c r="L38" s="736"/>
      <c r="M38" s="736"/>
      <c r="N38" s="736"/>
      <c r="O38" s="736"/>
      <c r="P38" s="701">
        <f t="shared" si="0"/>
        <v>0</v>
      </c>
      <c r="Q38" s="690"/>
      <c r="R38" s="690"/>
      <c r="S38" s="690"/>
      <c r="T38" s="698">
        <f>IF(Efetivo!D42&gt;0,Efetivo!D42,0)</f>
        <v>0</v>
      </c>
    </row>
    <row r="39" spans="2:20" hidden="1">
      <c r="B39" s="690"/>
      <c r="C39" s="690"/>
      <c r="D39" s="826">
        <f>Efetivo!B43</f>
        <v>0</v>
      </c>
      <c r="E39" s="736"/>
      <c r="F39" s="736"/>
      <c r="G39" s="736"/>
      <c r="H39" s="736"/>
      <c r="I39" s="737"/>
      <c r="J39" s="737"/>
      <c r="K39" s="736"/>
      <c r="L39" s="736"/>
      <c r="M39" s="736"/>
      <c r="N39" s="736"/>
      <c r="O39" s="736"/>
      <c r="P39" s="701">
        <f t="shared" si="0"/>
        <v>0</v>
      </c>
      <c r="Q39" s="690"/>
      <c r="R39" s="690"/>
      <c r="S39" s="690"/>
      <c r="T39" s="698">
        <f>IF(Efetivo!D43&gt;0,Efetivo!D43,0)</f>
        <v>0</v>
      </c>
    </row>
    <row r="40" spans="2:20" hidden="1">
      <c r="B40" s="690"/>
      <c r="C40" s="690"/>
      <c r="D40" s="826">
        <f>Efetivo!B44</f>
        <v>0</v>
      </c>
      <c r="E40" s="736"/>
      <c r="F40" s="736"/>
      <c r="G40" s="736"/>
      <c r="H40" s="736"/>
      <c r="I40" s="737"/>
      <c r="J40" s="737"/>
      <c r="K40" s="736"/>
      <c r="L40" s="736"/>
      <c r="M40" s="736"/>
      <c r="N40" s="736"/>
      <c r="O40" s="736"/>
      <c r="P40" s="701">
        <f t="shared" si="0"/>
        <v>0</v>
      </c>
      <c r="Q40" s="690"/>
      <c r="R40" s="690"/>
      <c r="S40" s="690"/>
      <c r="T40" s="698">
        <f>IF(Efetivo!D44&gt;0,Efetivo!D44,0)</f>
        <v>0</v>
      </c>
    </row>
    <row r="41" spans="2:20" hidden="1">
      <c r="B41" s="690"/>
      <c r="C41" s="690"/>
      <c r="D41" s="826">
        <f>Efetivo!B45</f>
        <v>0</v>
      </c>
      <c r="E41" s="736"/>
      <c r="F41" s="736"/>
      <c r="G41" s="736"/>
      <c r="H41" s="736"/>
      <c r="I41" s="737"/>
      <c r="J41" s="737"/>
      <c r="K41" s="736"/>
      <c r="L41" s="736"/>
      <c r="M41" s="736"/>
      <c r="N41" s="736"/>
      <c r="O41" s="736"/>
      <c r="P41" s="701">
        <f t="shared" si="0"/>
        <v>0</v>
      </c>
      <c r="Q41" s="690"/>
      <c r="R41" s="690"/>
      <c r="S41" s="690"/>
      <c r="T41" s="698">
        <f>IF(Efetivo!D45&gt;0,Efetivo!D45,0)</f>
        <v>0</v>
      </c>
    </row>
    <row r="42" spans="2:20" hidden="1">
      <c r="B42" s="690"/>
      <c r="C42" s="690"/>
      <c r="D42" s="826">
        <f>Efetivo!B46</f>
        <v>0</v>
      </c>
      <c r="E42" s="736"/>
      <c r="F42" s="736"/>
      <c r="G42" s="736"/>
      <c r="H42" s="736"/>
      <c r="I42" s="737"/>
      <c r="J42" s="737"/>
      <c r="K42" s="736"/>
      <c r="L42" s="736"/>
      <c r="M42" s="736"/>
      <c r="N42" s="736"/>
      <c r="O42" s="736"/>
      <c r="P42" s="701">
        <f t="shared" si="0"/>
        <v>0</v>
      </c>
      <c r="Q42" s="690"/>
      <c r="R42" s="690"/>
      <c r="S42" s="690"/>
      <c r="T42" s="698">
        <f>IF(Efetivo!D46&gt;0,Efetivo!D46,0)</f>
        <v>0</v>
      </c>
    </row>
    <row r="43" spans="2:20" hidden="1">
      <c r="B43" s="690"/>
      <c r="C43" s="690"/>
      <c r="D43" s="826">
        <f>Efetivo!B47</f>
        <v>0</v>
      </c>
      <c r="E43" s="736"/>
      <c r="F43" s="736"/>
      <c r="G43" s="736"/>
      <c r="H43" s="736"/>
      <c r="I43" s="737"/>
      <c r="J43" s="737"/>
      <c r="K43" s="736"/>
      <c r="L43" s="736"/>
      <c r="M43" s="736"/>
      <c r="N43" s="736"/>
      <c r="O43" s="736"/>
      <c r="P43" s="701">
        <f t="shared" si="0"/>
        <v>0</v>
      </c>
      <c r="Q43" s="690"/>
      <c r="R43" s="690"/>
      <c r="S43" s="690"/>
      <c r="T43" s="698">
        <f>IF(Efetivo!D47&gt;0,Efetivo!D47,0)</f>
        <v>0</v>
      </c>
    </row>
    <row r="44" spans="2:20" hidden="1">
      <c r="B44" s="690"/>
      <c r="C44" s="690"/>
      <c r="D44" s="826">
        <f>Efetivo!B48</f>
        <v>0</v>
      </c>
      <c r="E44" s="736"/>
      <c r="F44" s="736"/>
      <c r="G44" s="736"/>
      <c r="H44" s="736"/>
      <c r="I44" s="737"/>
      <c r="J44" s="737"/>
      <c r="K44" s="736"/>
      <c r="L44" s="736"/>
      <c r="M44" s="736"/>
      <c r="N44" s="736"/>
      <c r="O44" s="736"/>
      <c r="P44" s="701">
        <f t="shared" si="0"/>
        <v>0</v>
      </c>
      <c r="Q44" s="690"/>
      <c r="R44" s="690"/>
      <c r="S44" s="690"/>
      <c r="T44" s="698">
        <f>IF(Efetivo!D48&gt;0,Efetivo!D48,0)</f>
        <v>0</v>
      </c>
    </row>
    <row r="45" spans="2:20" hidden="1">
      <c r="B45" s="690"/>
      <c r="C45" s="690"/>
      <c r="D45" s="826">
        <f>Efetivo!B49</f>
        <v>0</v>
      </c>
      <c r="E45" s="736"/>
      <c r="F45" s="736"/>
      <c r="G45" s="736"/>
      <c r="H45" s="736"/>
      <c r="I45" s="737"/>
      <c r="J45" s="737"/>
      <c r="K45" s="736"/>
      <c r="L45" s="736"/>
      <c r="M45" s="736"/>
      <c r="N45" s="736"/>
      <c r="O45" s="736"/>
      <c r="P45" s="701">
        <f t="shared" si="0"/>
        <v>0</v>
      </c>
      <c r="Q45" s="690"/>
      <c r="R45" s="690"/>
      <c r="S45" s="690"/>
      <c r="T45" s="698">
        <f>IF(Efetivo!D49&gt;0,Efetivo!D49,0)</f>
        <v>0</v>
      </c>
    </row>
    <row r="46" spans="2:20" hidden="1">
      <c r="B46" s="690"/>
      <c r="C46" s="690"/>
      <c r="D46" s="826">
        <f>Efetivo!B50</f>
        <v>0</v>
      </c>
      <c r="E46" s="737"/>
      <c r="F46" s="736"/>
      <c r="G46" s="736"/>
      <c r="H46" s="736"/>
      <c r="I46" s="737"/>
      <c r="J46" s="736"/>
      <c r="K46" s="736"/>
      <c r="L46" s="736"/>
      <c r="M46" s="736"/>
      <c r="N46" s="736"/>
      <c r="O46" s="736"/>
      <c r="P46" s="701">
        <f t="shared" si="0"/>
        <v>0</v>
      </c>
      <c r="Q46" s="690"/>
      <c r="R46" s="690"/>
      <c r="S46" s="690"/>
      <c r="T46" s="698">
        <f>IF(Efetivo!D50&gt;0,Efetivo!D50,0)</f>
        <v>0</v>
      </c>
    </row>
    <row r="47" spans="2:20" hidden="1">
      <c r="B47" s="690"/>
      <c r="C47" s="690"/>
      <c r="D47" s="826">
        <f>Efetivo!B51</f>
        <v>0</v>
      </c>
      <c r="E47" s="737"/>
      <c r="F47" s="736"/>
      <c r="G47" s="736"/>
      <c r="H47" s="736"/>
      <c r="I47" s="737"/>
      <c r="J47" s="736"/>
      <c r="K47" s="736"/>
      <c r="L47" s="736"/>
      <c r="M47" s="736"/>
      <c r="N47" s="736"/>
      <c r="O47" s="736"/>
      <c r="P47" s="701">
        <f t="shared" si="0"/>
        <v>0</v>
      </c>
      <c r="Q47" s="690"/>
      <c r="R47" s="690"/>
      <c r="S47" s="690"/>
      <c r="T47" s="698">
        <f>IF(Efetivo!D51&gt;0,Efetivo!D51,0)</f>
        <v>0</v>
      </c>
    </row>
    <row r="48" spans="2:20" hidden="1">
      <c r="B48" s="690"/>
      <c r="C48" s="690"/>
      <c r="D48" s="826">
        <f>Efetivo!B52</f>
        <v>0</v>
      </c>
      <c r="E48" s="737"/>
      <c r="F48" s="736"/>
      <c r="G48" s="736"/>
      <c r="H48" s="736"/>
      <c r="I48" s="737"/>
      <c r="J48" s="736"/>
      <c r="K48" s="736"/>
      <c r="L48" s="736"/>
      <c r="M48" s="736"/>
      <c r="N48" s="736"/>
      <c r="O48" s="736"/>
      <c r="P48" s="701">
        <f t="shared" si="0"/>
        <v>0</v>
      </c>
      <c r="Q48" s="690"/>
      <c r="R48" s="690"/>
      <c r="S48" s="690"/>
      <c r="T48" s="698">
        <f>IF(Efetivo!D52&gt;0,Efetivo!D52,0)</f>
        <v>0</v>
      </c>
    </row>
    <row r="49" spans="2:22" hidden="1">
      <c r="B49" s="691"/>
      <c r="C49" s="691"/>
      <c r="D49" s="826">
        <f>Efetivo!B53</f>
        <v>0</v>
      </c>
      <c r="E49" s="738"/>
      <c r="F49" s="739"/>
      <c r="G49" s="739"/>
      <c r="H49" s="739"/>
      <c r="I49" s="738"/>
      <c r="J49" s="739"/>
      <c r="K49" s="739"/>
      <c r="L49" s="739"/>
      <c r="M49" s="739"/>
      <c r="N49" s="739"/>
      <c r="O49" s="739"/>
      <c r="P49" s="702">
        <f t="shared" si="0"/>
        <v>0</v>
      </c>
      <c r="Q49" s="691"/>
      <c r="R49" s="691"/>
      <c r="S49" s="690"/>
      <c r="T49" s="698">
        <f>IF(Efetivo!D53&gt;0,Efetivo!D53,0)</f>
        <v>0</v>
      </c>
    </row>
    <row r="50" spans="2:22" ht="12" thickBot="1">
      <c r="B50" s="692"/>
      <c r="C50" s="692"/>
      <c r="D50" s="827">
        <f>Efetivo!B54</f>
        <v>0</v>
      </c>
      <c r="E50" s="740"/>
      <c r="F50" s="741"/>
      <c r="G50" s="741"/>
      <c r="H50" s="741"/>
      <c r="I50" s="740"/>
      <c r="J50" s="741"/>
      <c r="K50" s="741"/>
      <c r="L50" s="741"/>
      <c r="M50" s="741"/>
      <c r="N50" s="741"/>
      <c r="O50" s="741"/>
      <c r="P50" s="703">
        <f t="shared" si="0"/>
        <v>0</v>
      </c>
      <c r="Q50" s="692"/>
      <c r="R50" s="692"/>
      <c r="S50" s="692"/>
      <c r="T50" s="699">
        <f>IF(Efetivo!D54&gt;0,Efetivo!D54,0)</f>
        <v>0</v>
      </c>
    </row>
    <row r="51" spans="2:22" s="140" customFormat="1" ht="8.25" customHeight="1" thickTop="1" thickBot="1">
      <c r="B51" s="310"/>
      <c r="C51" s="310"/>
      <c r="D51" s="681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3"/>
      <c r="Q51" s="310"/>
      <c r="R51" s="310"/>
      <c r="S51" s="310"/>
      <c r="T51" s="310"/>
      <c r="V51" s="168"/>
    </row>
    <row r="52" spans="2:22" s="140" customFormat="1" ht="13.5" customHeight="1" thickTop="1">
      <c r="B52" s="1056" t="s">
        <v>113</v>
      </c>
      <c r="C52" s="1057"/>
      <c r="D52" s="1058"/>
      <c r="E52" s="816">
        <f t="shared" ref="E52:O52" si="1">SUM(E7:E50)</f>
        <v>2</v>
      </c>
      <c r="F52" s="817">
        <f t="shared" si="1"/>
        <v>1</v>
      </c>
      <c r="G52" s="817">
        <f t="shared" si="1"/>
        <v>0</v>
      </c>
      <c r="H52" s="817">
        <f t="shared" si="1"/>
        <v>0</v>
      </c>
      <c r="I52" s="817">
        <f t="shared" si="1"/>
        <v>0</v>
      </c>
      <c r="J52" s="817">
        <f t="shared" si="1"/>
        <v>0</v>
      </c>
      <c r="K52" s="817">
        <f t="shared" si="1"/>
        <v>0</v>
      </c>
      <c r="L52" s="817">
        <f t="shared" si="1"/>
        <v>0</v>
      </c>
      <c r="M52" s="817">
        <f t="shared" si="1"/>
        <v>0</v>
      </c>
      <c r="N52" s="817">
        <f t="shared" si="1"/>
        <v>0</v>
      </c>
      <c r="O52" s="817">
        <f t="shared" si="1"/>
        <v>0</v>
      </c>
      <c r="P52" s="693">
        <f>SUM(E52:O52)</f>
        <v>3</v>
      </c>
      <c r="Q52" s="684"/>
      <c r="R52" s="174"/>
      <c r="S52" s="174"/>
      <c r="T52" s="174"/>
      <c r="V52" s="168"/>
    </row>
    <row r="53" spans="2:22" s="140" customFormat="1" ht="12.75" customHeight="1">
      <c r="B53" s="1059" t="s">
        <v>523</v>
      </c>
      <c r="C53" s="1060"/>
      <c r="D53" s="1061"/>
      <c r="E53" s="818"/>
      <c r="F53" s="818">
        <f>SUMIF($Q$7:$Q$50,"S",F7:F50)*($H$3/$G$3)</f>
        <v>0</v>
      </c>
      <c r="G53" s="818">
        <f>SUMIF($Q$7:$Q$50,"S",G7:G50)*($H$3/$G$3)</f>
        <v>0</v>
      </c>
      <c r="H53" s="818">
        <f>SUMIF($Q$7:$Q$50,"S",H7:H50)*($H$3/$G$3)</f>
        <v>0</v>
      </c>
      <c r="I53" s="818">
        <f>SUMIF($Q$7:$Q$50,"S",I7:I50)*($H$3/$G$3)</f>
        <v>0</v>
      </c>
      <c r="J53" s="818">
        <f>(((SUMIF($Q$7:$Q$50,"S",J7:J50))*(O5))/N5)</f>
        <v>0</v>
      </c>
      <c r="K53" s="818">
        <f>SUMIF($Q$7:$Q$50,"S",K7:K50)*($O$5/$N$5)</f>
        <v>0</v>
      </c>
      <c r="L53" s="818">
        <f>SUMIF($Q$7:$Q$50,"S",L7:L50)*($O$5/$N$5)</f>
        <v>0</v>
      </c>
      <c r="M53" s="818">
        <f>SUMIF($Q$7:$Q$50,"S",M7:M50)*($O$5/$N$5)</f>
        <v>0</v>
      </c>
      <c r="N53" s="818">
        <f>SUMIF($Q$7:$Q$50,"S",N7:N50)*($O$5/$N$5)</f>
        <v>0</v>
      </c>
      <c r="O53" s="818">
        <f>SUMIF($Q$7:$Q$50,"S",O7:O50)*($O$5/$N$5)</f>
        <v>0</v>
      </c>
      <c r="P53" s="694">
        <f>SUM(E53:O53)</f>
        <v>0</v>
      </c>
      <c r="Q53" s="685"/>
      <c r="R53" s="683"/>
      <c r="S53" s="174"/>
      <c r="T53" s="295"/>
      <c r="V53" s="168"/>
    </row>
    <row r="54" spans="2:22" ht="13.5" customHeight="1" thickBot="1">
      <c r="B54" s="1053" t="s">
        <v>578</v>
      </c>
      <c r="C54" s="1054"/>
      <c r="D54" s="1055"/>
      <c r="E54" s="819"/>
      <c r="F54" s="822">
        <f>SUMIF($R$7:$R$50,"S",F7:F50)*(30/180)</f>
        <v>0</v>
      </c>
      <c r="G54" s="822">
        <f>SUMIF($R$7:$R$50,"S",G7:G50)*(30/180)</f>
        <v>0</v>
      </c>
      <c r="H54" s="822">
        <f>SUMIF($R$7:$R$50,"S",H7:H50)*(30/180)</f>
        <v>0</v>
      </c>
      <c r="I54" s="822">
        <f>SUMIF($R$7:$R$50,"S",I7:I50)*(30/180)</f>
        <v>0</v>
      </c>
      <c r="J54" s="819"/>
      <c r="K54" s="819"/>
      <c r="L54" s="819"/>
      <c r="M54" s="819"/>
      <c r="N54" s="819"/>
      <c r="O54" s="819"/>
      <c r="P54" s="695">
        <f>SUM(E54:O54)</f>
        <v>0</v>
      </c>
      <c r="Q54" s="685"/>
      <c r="R54" s="683"/>
      <c r="S54" s="686"/>
      <c r="T54" s="686"/>
    </row>
    <row r="55" spans="2:22" ht="12.75" thickTop="1" thickBot="1">
      <c r="D55" s="696"/>
      <c r="E55" s="812">
        <f t="shared" ref="E55:P55" si="2">SUM(E52:E54)</f>
        <v>2</v>
      </c>
      <c r="F55" s="813">
        <f t="shared" si="2"/>
        <v>1</v>
      </c>
      <c r="G55" s="813">
        <f t="shared" si="2"/>
        <v>0</v>
      </c>
      <c r="H55" s="813">
        <f t="shared" si="2"/>
        <v>0</v>
      </c>
      <c r="I55" s="814">
        <f t="shared" si="2"/>
        <v>0</v>
      </c>
      <c r="J55" s="812">
        <f t="shared" si="2"/>
        <v>0</v>
      </c>
      <c r="K55" s="813">
        <f t="shared" si="2"/>
        <v>0</v>
      </c>
      <c r="L55" s="813">
        <f t="shared" si="2"/>
        <v>0</v>
      </c>
      <c r="M55" s="813">
        <f t="shared" si="2"/>
        <v>0</v>
      </c>
      <c r="N55" s="813">
        <f t="shared" si="2"/>
        <v>0</v>
      </c>
      <c r="O55" s="813">
        <f t="shared" si="2"/>
        <v>0</v>
      </c>
      <c r="P55" s="815">
        <f t="shared" si="2"/>
        <v>3</v>
      </c>
      <c r="Q55" s="683"/>
      <c r="R55" s="683"/>
    </row>
    <row r="56" spans="2:22" ht="7.5" customHeight="1" thickTop="1"/>
    <row r="57" spans="2:22" ht="12.75" customHeight="1">
      <c r="B57" s="833">
        <f>ROUNDUP(SUM(P53:P54),0)</f>
        <v>0</v>
      </c>
      <c r="C57" s="841" t="s">
        <v>591</v>
      </c>
      <c r="D57" s="841"/>
      <c r="L57" s="688"/>
    </row>
    <row r="58" spans="2:22">
      <c r="J58" s="687"/>
      <c r="M58" s="688"/>
    </row>
    <row r="60" spans="2:22">
      <c r="H60" s="688"/>
    </row>
    <row r="61" spans="2:22">
      <c r="G61" s="688"/>
    </row>
  </sheetData>
  <sheetProtection password="CADB" sheet="1" objects="1" scenarios="1" formatCells="0" formatColumns="0" formatRows="0"/>
  <mergeCells count="10">
    <mergeCell ref="T5:T6"/>
    <mergeCell ref="R5:R6"/>
    <mergeCell ref="B52:D52"/>
    <mergeCell ref="B53:D53"/>
    <mergeCell ref="G4:I4"/>
    <mergeCell ref="B5:D5"/>
    <mergeCell ref="P5:P6"/>
    <mergeCell ref="Q5:Q6"/>
    <mergeCell ref="B54:D54"/>
    <mergeCell ref="S5:S6"/>
  </mergeCells>
  <phoneticPr fontId="31" type="noConversion"/>
  <pageMargins left="0.17" right="0.22" top="0.49" bottom="0.43" header="0.18" footer="0.17"/>
  <pageSetup paperSize="9" scale="73" orientation="landscape" r:id="rId1"/>
  <headerFooter alignWithMargins="0">
    <oddFooter>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  <pageSetUpPr autoPageBreaks="0"/>
  </sheetPr>
  <dimension ref="B1:K119"/>
  <sheetViews>
    <sheetView showGridLines="0" showZeros="0" zoomScaleNormal="100" workbookViewId="0">
      <pane ySplit="13" topLeftCell="A14" activePane="bottomLeft" state="frozen"/>
      <selection activeCell="C6" sqref="C6:Q6"/>
      <selection pane="bottomLeft" activeCell="A14" sqref="A14"/>
    </sheetView>
  </sheetViews>
  <sheetFormatPr defaultRowHeight="12.75"/>
  <cols>
    <col min="1" max="1" width="5.28515625" style="170" customWidth="1"/>
    <col min="2" max="2" width="2.5703125" style="169" customWidth="1"/>
    <col min="3" max="3" width="29.5703125" style="170" customWidth="1"/>
    <col min="4" max="4" width="11" style="171" customWidth="1"/>
    <col min="5" max="5" width="11.5703125" style="170" customWidth="1"/>
    <col min="6" max="6" width="10.42578125" style="170" customWidth="1"/>
    <col min="7" max="7" width="1.85546875" style="170" customWidth="1"/>
    <col min="8" max="8" width="11" style="170" customWidth="1"/>
    <col min="9" max="9" width="2" style="170" customWidth="1"/>
    <col min="10" max="10" width="11" style="170" customWidth="1"/>
    <col min="11" max="11" width="1" style="170" customWidth="1"/>
    <col min="12" max="16384" width="9.140625" style="170"/>
  </cols>
  <sheetData>
    <row r="1" spans="2:11" ht="6" customHeight="1"/>
    <row r="2" spans="2:11" ht="16.5" customHeight="1">
      <c r="D2" s="170"/>
    </row>
    <row r="3" spans="2:11" ht="6" customHeight="1"/>
    <row r="4" spans="2:11" ht="18" customHeight="1" thickBot="1">
      <c r="C4" s="1069" t="s">
        <v>501</v>
      </c>
      <c r="D4" s="1070"/>
      <c r="E4" s="1070"/>
      <c r="F4" s="1070"/>
      <c r="G4" s="1070"/>
      <c r="H4" s="1070"/>
      <c r="I4" s="1070"/>
      <c r="J4" s="1071"/>
    </row>
    <row r="5" spans="2:11" s="173" customFormat="1" ht="7.5" customHeight="1">
      <c r="B5" s="172"/>
      <c r="D5" s="157"/>
      <c r="E5" s="174"/>
      <c r="F5" s="174"/>
      <c r="G5" s="174"/>
      <c r="H5" s="174"/>
    </row>
    <row r="6" spans="2:11" ht="9" customHeight="1">
      <c r="C6" s="1068" t="s">
        <v>475</v>
      </c>
      <c r="D6" s="1076">
        <f>Dados!C16</f>
        <v>12</v>
      </c>
      <c r="E6" s="1067" t="s">
        <v>476</v>
      </c>
      <c r="F6" s="1068"/>
      <c r="G6" s="1063"/>
      <c r="H6" s="1064"/>
      <c r="I6" s="176"/>
    </row>
    <row r="7" spans="2:11" ht="10.5" customHeight="1" thickBot="1">
      <c r="C7" s="1068"/>
      <c r="D7" s="1077"/>
      <c r="E7" s="1067"/>
      <c r="F7" s="1068"/>
      <c r="G7" s="1065"/>
      <c r="H7" s="1066"/>
      <c r="I7" s="176"/>
      <c r="J7" s="176"/>
    </row>
    <row r="8" spans="2:11" ht="17.25" customHeight="1">
      <c r="D8" s="828" t="s">
        <v>584</v>
      </c>
      <c r="E8" s="176"/>
      <c r="F8" s="176"/>
      <c r="G8" s="176"/>
      <c r="H8" s="210" t="s">
        <v>83</v>
      </c>
      <c r="I8" s="177"/>
      <c r="J8" s="1072">
        <f>TRUNC((SUM(J16:J75)),2)</f>
        <v>407.94</v>
      </c>
      <c r="K8" s="1073"/>
    </row>
    <row r="9" spans="2:11" ht="3.75" customHeight="1" thickBot="1">
      <c r="D9" s="175"/>
      <c r="E9" s="176"/>
      <c r="F9" s="176"/>
      <c r="G9" s="176"/>
      <c r="H9" s="178"/>
      <c r="I9" s="177"/>
      <c r="J9" s="1074"/>
      <c r="K9" s="1075"/>
    </row>
    <row r="10" spans="2:11" s="181" customFormat="1" ht="9.75" customHeight="1">
      <c r="B10" s="180"/>
      <c r="C10" s="211">
        <v>1</v>
      </c>
      <c r="D10" s="211">
        <v>2</v>
      </c>
      <c r="E10" s="211">
        <v>3</v>
      </c>
      <c r="F10" s="211">
        <v>4</v>
      </c>
      <c r="G10" s="212"/>
      <c r="H10" s="211">
        <v>5</v>
      </c>
      <c r="I10" s="212"/>
      <c r="J10" s="211">
        <v>6</v>
      </c>
    </row>
    <row r="11" spans="2:11" s="185" customFormat="1" ht="25.5" customHeight="1" thickBot="1">
      <c r="B11" s="182"/>
      <c r="C11" s="205" t="s">
        <v>88</v>
      </c>
      <c r="D11" s="206" t="s">
        <v>89</v>
      </c>
      <c r="E11" s="205" t="s">
        <v>250</v>
      </c>
      <c r="F11" s="205" t="s">
        <v>81</v>
      </c>
      <c r="G11" s="207"/>
      <c r="H11" s="205" t="s">
        <v>12</v>
      </c>
      <c r="I11" s="208"/>
      <c r="J11" s="209" t="s">
        <v>83</v>
      </c>
    </row>
    <row r="12" spans="2:11" s="185" customFormat="1" ht="2.25" customHeight="1">
      <c r="B12" s="182"/>
      <c r="C12" s="186"/>
      <c r="D12" s="187"/>
      <c r="E12" s="186"/>
      <c r="F12" s="186"/>
      <c r="G12" s="183"/>
      <c r="H12" s="186"/>
      <c r="I12" s="184"/>
      <c r="J12" s="186"/>
    </row>
    <row r="13" spans="2:11" s="185" customFormat="1" ht="2.25" customHeight="1">
      <c r="B13" s="182"/>
      <c r="C13" s="186"/>
      <c r="D13" s="187"/>
      <c r="E13" s="186"/>
      <c r="F13" s="186"/>
      <c r="G13" s="183"/>
      <c r="H13" s="186"/>
      <c r="I13" s="184"/>
      <c r="J13" s="186"/>
    </row>
    <row r="14" spans="2:11" s="185" customFormat="1" ht="5.25" customHeight="1">
      <c r="B14" s="182"/>
      <c r="C14" s="186"/>
      <c r="D14" s="187"/>
      <c r="E14" s="186"/>
      <c r="F14" s="186"/>
      <c r="G14" s="183"/>
      <c r="H14" s="186"/>
      <c r="I14" s="184"/>
      <c r="J14" s="186"/>
    </row>
    <row r="15" spans="2:11" ht="6.75" customHeight="1">
      <c r="C15" s="188"/>
      <c r="D15" s="189"/>
      <c r="E15" s="190"/>
      <c r="F15" s="191"/>
      <c r="G15" s="191"/>
      <c r="H15" s="192"/>
      <c r="I15" s="192"/>
      <c r="J15" s="192"/>
    </row>
    <row r="16" spans="2:11">
      <c r="B16" s="169">
        <v>1</v>
      </c>
      <c r="C16" s="963" t="s">
        <v>615</v>
      </c>
      <c r="D16" s="964">
        <v>3</v>
      </c>
      <c r="E16" s="964">
        <v>4</v>
      </c>
      <c r="F16" s="500">
        <v>16.93</v>
      </c>
      <c r="G16" s="193"/>
      <c r="H16" s="561">
        <f t="shared" ref="H16:H47" si="0">F16*E16</f>
        <v>67.72</v>
      </c>
      <c r="I16" s="562"/>
      <c r="J16" s="561">
        <f t="shared" ref="J16:J47" si="1">IF(D16&gt;0,(H16*D16)/$D$6,0)</f>
        <v>16.93</v>
      </c>
    </row>
    <row r="17" spans="2:10">
      <c r="B17" s="169">
        <v>2</v>
      </c>
      <c r="C17" s="963" t="s">
        <v>616</v>
      </c>
      <c r="D17" s="964">
        <v>3</v>
      </c>
      <c r="E17" s="964">
        <v>4</v>
      </c>
      <c r="F17" s="500">
        <v>17.93</v>
      </c>
      <c r="G17" s="193"/>
      <c r="H17" s="561">
        <f t="shared" si="0"/>
        <v>71.72</v>
      </c>
      <c r="I17" s="562"/>
      <c r="J17" s="561">
        <f t="shared" si="1"/>
        <v>17.93</v>
      </c>
    </row>
    <row r="18" spans="2:10">
      <c r="B18" s="169">
        <v>3</v>
      </c>
      <c r="C18" s="963" t="s">
        <v>618</v>
      </c>
      <c r="D18" s="964">
        <v>3</v>
      </c>
      <c r="E18" s="964">
        <v>1</v>
      </c>
      <c r="F18" s="500">
        <v>69.63</v>
      </c>
      <c r="G18" s="193"/>
      <c r="H18" s="561">
        <f t="shared" si="0"/>
        <v>69.63</v>
      </c>
      <c r="I18" s="562"/>
      <c r="J18" s="561">
        <f t="shared" si="1"/>
        <v>17.407499999999999</v>
      </c>
    </row>
    <row r="19" spans="2:10">
      <c r="B19" s="169">
        <v>4</v>
      </c>
      <c r="C19" s="963" t="s">
        <v>622</v>
      </c>
      <c r="D19" s="964">
        <v>3</v>
      </c>
      <c r="E19" s="964">
        <v>1</v>
      </c>
      <c r="F19" s="500">
        <v>108.93</v>
      </c>
      <c r="G19" s="193"/>
      <c r="H19" s="561">
        <f t="shared" si="0"/>
        <v>108.93</v>
      </c>
      <c r="I19" s="562"/>
      <c r="J19" s="561">
        <f t="shared" si="1"/>
        <v>27.232500000000002</v>
      </c>
    </row>
    <row r="20" spans="2:10">
      <c r="B20" s="169">
        <v>5</v>
      </c>
      <c r="C20" s="963" t="s">
        <v>628</v>
      </c>
      <c r="D20" s="964">
        <v>3</v>
      </c>
      <c r="E20" s="964">
        <v>1</v>
      </c>
      <c r="F20" s="500">
        <v>139.12</v>
      </c>
      <c r="G20" s="193"/>
      <c r="H20" s="561">
        <f t="shared" si="0"/>
        <v>139.12</v>
      </c>
      <c r="I20" s="562"/>
      <c r="J20" s="561">
        <f t="shared" si="1"/>
        <v>34.78</v>
      </c>
    </row>
    <row r="21" spans="2:10">
      <c r="B21" s="169">
        <v>6</v>
      </c>
      <c r="C21" s="963" t="s">
        <v>623</v>
      </c>
      <c r="D21" s="964">
        <v>3</v>
      </c>
      <c r="E21" s="964">
        <v>3</v>
      </c>
      <c r="F21" s="500">
        <v>92.43</v>
      </c>
      <c r="G21" s="193"/>
      <c r="H21" s="561">
        <f t="shared" si="0"/>
        <v>277.29000000000002</v>
      </c>
      <c r="I21" s="562"/>
      <c r="J21" s="561">
        <f t="shared" si="1"/>
        <v>69.322500000000005</v>
      </c>
    </row>
    <row r="22" spans="2:10">
      <c r="B22" s="169">
        <v>7</v>
      </c>
      <c r="C22" s="963" t="s">
        <v>620</v>
      </c>
      <c r="D22" s="964">
        <v>3</v>
      </c>
      <c r="E22" s="964">
        <v>2</v>
      </c>
      <c r="F22" s="500">
        <v>93.22</v>
      </c>
      <c r="G22" s="193"/>
      <c r="H22" s="561">
        <f t="shared" si="0"/>
        <v>186.44</v>
      </c>
      <c r="I22" s="562"/>
      <c r="J22" s="561">
        <f t="shared" si="1"/>
        <v>46.609999999999992</v>
      </c>
    </row>
    <row r="23" spans="2:10">
      <c r="B23" s="169">
        <v>8</v>
      </c>
      <c r="C23" s="963" t="s">
        <v>621</v>
      </c>
      <c r="D23" s="964">
        <v>3</v>
      </c>
      <c r="E23" s="964">
        <v>1</v>
      </c>
      <c r="F23" s="500">
        <v>49.95</v>
      </c>
      <c r="G23" s="193"/>
      <c r="H23" s="561">
        <f t="shared" si="0"/>
        <v>49.95</v>
      </c>
      <c r="I23" s="562"/>
      <c r="J23" s="561">
        <f t="shared" si="1"/>
        <v>12.487500000000002</v>
      </c>
    </row>
    <row r="24" spans="2:10">
      <c r="B24" s="169">
        <v>9</v>
      </c>
      <c r="C24" s="963" t="s">
        <v>629</v>
      </c>
      <c r="D24" s="964">
        <v>3</v>
      </c>
      <c r="E24" s="964">
        <v>2</v>
      </c>
      <c r="F24" s="500">
        <v>41.3</v>
      </c>
      <c r="G24" s="193"/>
      <c r="H24" s="561">
        <f t="shared" si="0"/>
        <v>82.6</v>
      </c>
      <c r="I24" s="562"/>
      <c r="J24" s="561">
        <f t="shared" si="1"/>
        <v>20.65</v>
      </c>
    </row>
    <row r="25" spans="2:10">
      <c r="B25" s="169">
        <v>10</v>
      </c>
      <c r="C25" s="963" t="s">
        <v>529</v>
      </c>
      <c r="D25" s="964">
        <v>3</v>
      </c>
      <c r="E25" s="964">
        <v>2</v>
      </c>
      <c r="F25" s="500">
        <v>18.27</v>
      </c>
      <c r="G25" s="193"/>
      <c r="H25" s="561">
        <f t="shared" si="0"/>
        <v>36.54</v>
      </c>
      <c r="I25" s="562"/>
      <c r="J25" s="561">
        <f t="shared" si="1"/>
        <v>9.1349999999999998</v>
      </c>
    </row>
    <row r="26" spans="2:10" ht="25.5">
      <c r="B26" s="169">
        <v>11</v>
      </c>
      <c r="C26" s="963" t="s">
        <v>627</v>
      </c>
      <c r="D26" s="964">
        <v>1</v>
      </c>
      <c r="E26" s="964">
        <v>1</v>
      </c>
      <c r="F26" s="500">
        <v>12.54</v>
      </c>
      <c r="G26" s="193"/>
      <c r="H26" s="561">
        <f t="shared" si="0"/>
        <v>12.54</v>
      </c>
      <c r="I26" s="562"/>
      <c r="J26" s="561">
        <f t="shared" si="1"/>
        <v>1.0449999999999999</v>
      </c>
    </row>
    <row r="27" spans="2:10">
      <c r="B27" s="169">
        <v>12</v>
      </c>
      <c r="C27" s="963" t="s">
        <v>626</v>
      </c>
      <c r="D27" s="964">
        <v>1</v>
      </c>
      <c r="E27" s="964">
        <v>1</v>
      </c>
      <c r="F27" s="500">
        <v>46</v>
      </c>
      <c r="G27" s="193"/>
      <c r="H27" s="561">
        <f t="shared" si="0"/>
        <v>46</v>
      </c>
      <c r="I27" s="562"/>
      <c r="J27" s="561">
        <f t="shared" si="1"/>
        <v>3.8333333333333335</v>
      </c>
    </row>
    <row r="28" spans="2:10">
      <c r="B28" s="169">
        <v>13</v>
      </c>
      <c r="C28" s="963"/>
      <c r="D28" s="964"/>
      <c r="E28" s="964"/>
      <c r="F28" s="500"/>
      <c r="G28" s="193"/>
      <c r="H28" s="561">
        <f t="shared" si="0"/>
        <v>0</v>
      </c>
      <c r="I28" s="562"/>
      <c r="J28" s="561">
        <f t="shared" si="1"/>
        <v>0</v>
      </c>
    </row>
    <row r="29" spans="2:10">
      <c r="B29" s="169">
        <v>14</v>
      </c>
      <c r="C29" s="963" t="s">
        <v>624</v>
      </c>
      <c r="D29" s="964">
        <v>3</v>
      </c>
      <c r="E29" s="964">
        <v>3</v>
      </c>
      <c r="F29" s="500">
        <v>6.39</v>
      </c>
      <c r="G29" s="193"/>
      <c r="H29" s="561">
        <f t="shared" si="0"/>
        <v>19.169999999999998</v>
      </c>
      <c r="I29" s="562"/>
      <c r="J29" s="561">
        <f t="shared" si="1"/>
        <v>4.7924999999999995</v>
      </c>
    </row>
    <row r="30" spans="2:10">
      <c r="B30" s="169">
        <v>15</v>
      </c>
      <c r="C30" s="963" t="s">
        <v>625</v>
      </c>
      <c r="D30" s="964">
        <v>2</v>
      </c>
      <c r="E30" s="964">
        <v>3</v>
      </c>
      <c r="F30" s="500">
        <v>186.67</v>
      </c>
      <c r="G30" s="193"/>
      <c r="H30" s="561">
        <f t="shared" si="0"/>
        <v>560.01</v>
      </c>
      <c r="I30" s="562"/>
      <c r="J30" s="561">
        <f t="shared" si="1"/>
        <v>93.334999999999994</v>
      </c>
    </row>
    <row r="31" spans="2:10">
      <c r="B31" s="169">
        <v>16</v>
      </c>
      <c r="C31" s="963" t="s">
        <v>614</v>
      </c>
      <c r="D31" s="964">
        <v>3</v>
      </c>
      <c r="E31" s="964">
        <v>1</v>
      </c>
      <c r="F31" s="500">
        <v>11.63</v>
      </c>
      <c r="G31" s="193"/>
      <c r="H31" s="561">
        <f t="shared" si="0"/>
        <v>11.63</v>
      </c>
      <c r="I31" s="562"/>
      <c r="J31" s="561">
        <f t="shared" si="1"/>
        <v>2.9075000000000002</v>
      </c>
    </row>
    <row r="32" spans="2:10">
      <c r="B32" s="169">
        <v>17</v>
      </c>
      <c r="C32" s="963" t="s">
        <v>619</v>
      </c>
      <c r="D32" s="964">
        <v>3</v>
      </c>
      <c r="E32" s="964">
        <v>12</v>
      </c>
      <c r="F32" s="500">
        <v>2.1800000000000002</v>
      </c>
      <c r="G32" s="193"/>
      <c r="H32" s="561">
        <f t="shared" si="0"/>
        <v>26.160000000000004</v>
      </c>
      <c r="I32" s="562"/>
      <c r="J32" s="561">
        <f t="shared" si="1"/>
        <v>6.5400000000000018</v>
      </c>
    </row>
    <row r="33" spans="2:10">
      <c r="B33" s="169">
        <v>18</v>
      </c>
      <c r="C33" s="963" t="s">
        <v>617</v>
      </c>
      <c r="D33" s="964">
        <v>3</v>
      </c>
      <c r="E33" s="964">
        <v>1</v>
      </c>
      <c r="F33" s="500">
        <v>10.83</v>
      </c>
      <c r="G33" s="193"/>
      <c r="H33" s="561">
        <f t="shared" si="0"/>
        <v>10.83</v>
      </c>
      <c r="I33" s="562"/>
      <c r="J33" s="561">
        <f t="shared" si="1"/>
        <v>2.7075</v>
      </c>
    </row>
    <row r="34" spans="2:10">
      <c r="B34" s="169">
        <v>19</v>
      </c>
      <c r="C34" s="963" t="s">
        <v>630</v>
      </c>
      <c r="D34" s="964">
        <v>2</v>
      </c>
      <c r="E34" s="964">
        <v>1</v>
      </c>
      <c r="F34" s="500">
        <v>108.44</v>
      </c>
      <c r="G34" s="193"/>
      <c r="H34" s="561">
        <f t="shared" si="0"/>
        <v>108.44</v>
      </c>
      <c r="I34" s="562"/>
      <c r="J34" s="561">
        <f t="shared" si="1"/>
        <v>18.073333333333334</v>
      </c>
    </row>
    <row r="35" spans="2:10">
      <c r="B35" s="169">
        <v>20</v>
      </c>
      <c r="C35" s="963" t="s">
        <v>546</v>
      </c>
      <c r="D35" s="964">
        <v>2</v>
      </c>
      <c r="E35" s="964">
        <v>1</v>
      </c>
      <c r="F35" s="500">
        <v>13.35</v>
      </c>
      <c r="G35" s="193"/>
      <c r="H35" s="561">
        <f t="shared" si="0"/>
        <v>13.35</v>
      </c>
      <c r="I35" s="562"/>
      <c r="J35" s="561">
        <f t="shared" si="1"/>
        <v>2.2250000000000001</v>
      </c>
    </row>
    <row r="36" spans="2:10">
      <c r="B36" s="169">
        <v>21</v>
      </c>
      <c r="C36" s="197"/>
      <c r="D36" s="200"/>
      <c r="E36" s="200"/>
      <c r="F36" s="201"/>
      <c r="G36" s="193"/>
      <c r="H36" s="561">
        <f t="shared" si="0"/>
        <v>0</v>
      </c>
      <c r="I36" s="562"/>
      <c r="J36" s="561">
        <f t="shared" si="1"/>
        <v>0</v>
      </c>
    </row>
    <row r="37" spans="2:10">
      <c r="B37" s="169">
        <v>22</v>
      </c>
      <c r="C37" s="197"/>
      <c r="D37" s="200"/>
      <c r="E37" s="200"/>
      <c r="F37" s="201"/>
      <c r="G37" s="193"/>
      <c r="H37" s="561">
        <f t="shared" si="0"/>
        <v>0</v>
      </c>
      <c r="I37" s="562"/>
      <c r="J37" s="561">
        <f t="shared" si="1"/>
        <v>0</v>
      </c>
    </row>
    <row r="38" spans="2:10">
      <c r="B38" s="169">
        <v>23</v>
      </c>
      <c r="C38" s="197"/>
      <c r="D38" s="200"/>
      <c r="E38" s="200"/>
      <c r="F38" s="201"/>
      <c r="G38" s="193"/>
      <c r="H38" s="561">
        <f t="shared" si="0"/>
        <v>0</v>
      </c>
      <c r="I38" s="562"/>
      <c r="J38" s="561">
        <f t="shared" si="1"/>
        <v>0</v>
      </c>
    </row>
    <row r="39" spans="2:10">
      <c r="B39" s="169">
        <v>24</v>
      </c>
      <c r="C39" s="197"/>
      <c r="D39" s="200"/>
      <c r="E39" s="200"/>
      <c r="F39" s="201"/>
      <c r="G39" s="193"/>
      <c r="H39" s="561">
        <f t="shared" si="0"/>
        <v>0</v>
      </c>
      <c r="I39" s="562"/>
      <c r="J39" s="561">
        <f t="shared" si="1"/>
        <v>0</v>
      </c>
    </row>
    <row r="40" spans="2:10">
      <c r="B40" s="169">
        <v>25</v>
      </c>
      <c r="C40" s="197"/>
      <c r="D40" s="200"/>
      <c r="E40" s="200"/>
      <c r="F40" s="201"/>
      <c r="G40" s="193"/>
      <c r="H40" s="561">
        <f t="shared" si="0"/>
        <v>0</v>
      </c>
      <c r="I40" s="562"/>
      <c r="J40" s="561">
        <f t="shared" si="1"/>
        <v>0</v>
      </c>
    </row>
    <row r="41" spans="2:10">
      <c r="B41" s="169">
        <v>26</v>
      </c>
      <c r="C41" s="197"/>
      <c r="D41" s="200"/>
      <c r="E41" s="200"/>
      <c r="F41" s="201"/>
      <c r="G41" s="193"/>
      <c r="H41" s="561">
        <f t="shared" si="0"/>
        <v>0</v>
      </c>
      <c r="I41" s="562"/>
      <c r="J41" s="561">
        <f t="shared" si="1"/>
        <v>0</v>
      </c>
    </row>
    <row r="42" spans="2:10">
      <c r="B42" s="169">
        <v>27</v>
      </c>
      <c r="C42" s="197"/>
      <c r="D42" s="200"/>
      <c r="E42" s="200"/>
      <c r="F42" s="201"/>
      <c r="G42" s="193"/>
      <c r="H42" s="561">
        <f t="shared" si="0"/>
        <v>0</v>
      </c>
      <c r="I42" s="562"/>
      <c r="J42" s="561">
        <f t="shared" si="1"/>
        <v>0</v>
      </c>
    </row>
    <row r="43" spans="2:10">
      <c r="B43" s="169">
        <v>28</v>
      </c>
      <c r="C43" s="197"/>
      <c r="D43" s="200"/>
      <c r="E43" s="200"/>
      <c r="F43" s="201"/>
      <c r="G43" s="193"/>
      <c r="H43" s="561">
        <f t="shared" si="0"/>
        <v>0</v>
      </c>
      <c r="I43" s="562"/>
      <c r="J43" s="561">
        <f t="shared" si="1"/>
        <v>0</v>
      </c>
    </row>
    <row r="44" spans="2:10">
      <c r="B44" s="169">
        <v>29</v>
      </c>
      <c r="C44" s="197"/>
      <c r="D44" s="200"/>
      <c r="E44" s="200"/>
      <c r="F44" s="201"/>
      <c r="G44" s="193"/>
      <c r="H44" s="561">
        <f t="shared" si="0"/>
        <v>0</v>
      </c>
      <c r="I44" s="562"/>
      <c r="J44" s="561">
        <f t="shared" si="1"/>
        <v>0</v>
      </c>
    </row>
    <row r="45" spans="2:10">
      <c r="B45" s="169">
        <v>30</v>
      </c>
      <c r="C45" s="197"/>
      <c r="D45" s="200"/>
      <c r="E45" s="200"/>
      <c r="F45" s="201"/>
      <c r="G45" s="193"/>
      <c r="H45" s="561">
        <f t="shared" si="0"/>
        <v>0</v>
      </c>
      <c r="I45" s="562"/>
      <c r="J45" s="561">
        <f t="shared" si="1"/>
        <v>0</v>
      </c>
    </row>
    <row r="46" spans="2:10">
      <c r="B46" s="169">
        <v>31</v>
      </c>
      <c r="C46" s="197"/>
      <c r="D46" s="200"/>
      <c r="E46" s="200"/>
      <c r="F46" s="201"/>
      <c r="G46" s="193"/>
      <c r="H46" s="561">
        <f t="shared" si="0"/>
        <v>0</v>
      </c>
      <c r="I46" s="562"/>
      <c r="J46" s="561">
        <f t="shared" si="1"/>
        <v>0</v>
      </c>
    </row>
    <row r="47" spans="2:10">
      <c r="B47" s="169">
        <v>32</v>
      </c>
      <c r="C47" s="197"/>
      <c r="D47" s="200"/>
      <c r="E47" s="200"/>
      <c r="F47" s="201"/>
      <c r="G47" s="193"/>
      <c r="H47" s="561">
        <f t="shared" si="0"/>
        <v>0</v>
      </c>
      <c r="I47" s="562"/>
      <c r="J47" s="561">
        <f t="shared" si="1"/>
        <v>0</v>
      </c>
    </row>
    <row r="48" spans="2:10">
      <c r="B48" s="169">
        <v>33</v>
      </c>
      <c r="C48" s="197"/>
      <c r="D48" s="200"/>
      <c r="E48" s="200"/>
      <c r="F48" s="201"/>
      <c r="G48" s="193"/>
      <c r="H48" s="561">
        <f t="shared" ref="H48:H75" si="2">F48*E48</f>
        <v>0</v>
      </c>
      <c r="I48" s="562"/>
      <c r="J48" s="561">
        <f t="shared" ref="J48:J75" si="3">IF(D48&gt;0,(H48*D48)/$D$6,0)</f>
        <v>0</v>
      </c>
    </row>
    <row r="49" spans="2:10">
      <c r="B49" s="169">
        <v>34</v>
      </c>
      <c r="C49" s="197"/>
      <c r="D49" s="200"/>
      <c r="E49" s="200"/>
      <c r="F49" s="201"/>
      <c r="G49" s="193"/>
      <c r="H49" s="561">
        <f t="shared" si="2"/>
        <v>0</v>
      </c>
      <c r="I49" s="562"/>
      <c r="J49" s="561">
        <f t="shared" si="3"/>
        <v>0</v>
      </c>
    </row>
    <row r="50" spans="2:10">
      <c r="B50" s="169">
        <v>35</v>
      </c>
      <c r="C50" s="197"/>
      <c r="D50" s="200"/>
      <c r="E50" s="200"/>
      <c r="F50" s="201"/>
      <c r="G50" s="193"/>
      <c r="H50" s="561">
        <f t="shared" si="2"/>
        <v>0</v>
      </c>
      <c r="I50" s="562"/>
      <c r="J50" s="561">
        <f t="shared" si="3"/>
        <v>0</v>
      </c>
    </row>
    <row r="51" spans="2:10">
      <c r="B51" s="169">
        <v>36</v>
      </c>
      <c r="C51" s="197"/>
      <c r="D51" s="200"/>
      <c r="E51" s="200"/>
      <c r="F51" s="201"/>
      <c r="G51" s="193"/>
      <c r="H51" s="561">
        <f t="shared" si="2"/>
        <v>0</v>
      </c>
      <c r="I51" s="562"/>
      <c r="J51" s="561">
        <f t="shared" si="3"/>
        <v>0</v>
      </c>
    </row>
    <row r="52" spans="2:10">
      <c r="B52" s="169">
        <v>37</v>
      </c>
      <c r="C52" s="197"/>
      <c r="D52" s="200"/>
      <c r="E52" s="200"/>
      <c r="F52" s="201"/>
      <c r="G52" s="193"/>
      <c r="H52" s="561">
        <f t="shared" si="2"/>
        <v>0</v>
      </c>
      <c r="I52" s="562"/>
      <c r="J52" s="561">
        <f t="shared" si="3"/>
        <v>0</v>
      </c>
    </row>
    <row r="53" spans="2:10">
      <c r="B53" s="169">
        <v>38</v>
      </c>
      <c r="C53" s="197"/>
      <c r="D53" s="200"/>
      <c r="E53" s="200"/>
      <c r="F53" s="201"/>
      <c r="G53" s="193"/>
      <c r="H53" s="561">
        <f t="shared" si="2"/>
        <v>0</v>
      </c>
      <c r="I53" s="562"/>
      <c r="J53" s="561">
        <f t="shared" si="3"/>
        <v>0</v>
      </c>
    </row>
    <row r="54" spans="2:10">
      <c r="B54" s="169">
        <v>39</v>
      </c>
      <c r="C54" s="197"/>
      <c r="D54" s="200"/>
      <c r="E54" s="200"/>
      <c r="F54" s="201"/>
      <c r="G54" s="193"/>
      <c r="H54" s="561">
        <f t="shared" si="2"/>
        <v>0</v>
      </c>
      <c r="I54" s="562"/>
      <c r="J54" s="561">
        <f t="shared" si="3"/>
        <v>0</v>
      </c>
    </row>
    <row r="55" spans="2:10">
      <c r="B55" s="169">
        <v>40</v>
      </c>
      <c r="C55" s="197"/>
      <c r="D55" s="200"/>
      <c r="E55" s="200"/>
      <c r="F55" s="201"/>
      <c r="G55" s="193"/>
      <c r="H55" s="561">
        <f t="shared" si="2"/>
        <v>0</v>
      </c>
      <c r="I55" s="562"/>
      <c r="J55" s="561">
        <f t="shared" si="3"/>
        <v>0</v>
      </c>
    </row>
    <row r="56" spans="2:10">
      <c r="B56" s="169">
        <v>41</v>
      </c>
      <c r="C56" s="197"/>
      <c r="D56" s="200"/>
      <c r="E56" s="200"/>
      <c r="F56" s="201"/>
      <c r="G56" s="193"/>
      <c r="H56" s="561">
        <f t="shared" si="2"/>
        <v>0</v>
      </c>
      <c r="I56" s="562"/>
      <c r="J56" s="561">
        <f t="shared" si="3"/>
        <v>0</v>
      </c>
    </row>
    <row r="57" spans="2:10">
      <c r="B57" s="169">
        <v>42</v>
      </c>
      <c r="C57" s="197"/>
      <c r="D57" s="200"/>
      <c r="E57" s="200"/>
      <c r="F57" s="201"/>
      <c r="G57" s="193"/>
      <c r="H57" s="561">
        <f t="shared" si="2"/>
        <v>0</v>
      </c>
      <c r="I57" s="562"/>
      <c r="J57" s="561">
        <f t="shared" si="3"/>
        <v>0</v>
      </c>
    </row>
    <row r="58" spans="2:10">
      <c r="B58" s="169">
        <v>43</v>
      </c>
      <c r="C58" s="197"/>
      <c r="D58" s="200"/>
      <c r="E58" s="200"/>
      <c r="F58" s="201"/>
      <c r="G58" s="193"/>
      <c r="H58" s="561">
        <f t="shared" si="2"/>
        <v>0</v>
      </c>
      <c r="I58" s="562"/>
      <c r="J58" s="561">
        <f t="shared" si="3"/>
        <v>0</v>
      </c>
    </row>
    <row r="59" spans="2:10">
      <c r="B59" s="169">
        <v>44</v>
      </c>
      <c r="C59" s="197"/>
      <c r="D59" s="200"/>
      <c r="E59" s="200"/>
      <c r="F59" s="201"/>
      <c r="G59" s="193"/>
      <c r="H59" s="561">
        <f t="shared" si="2"/>
        <v>0</v>
      </c>
      <c r="I59" s="562"/>
      <c r="J59" s="561">
        <f t="shared" si="3"/>
        <v>0</v>
      </c>
    </row>
    <row r="60" spans="2:10">
      <c r="B60" s="169">
        <v>45</v>
      </c>
      <c r="C60" s="197"/>
      <c r="D60" s="200"/>
      <c r="E60" s="200"/>
      <c r="F60" s="201"/>
      <c r="G60" s="193"/>
      <c r="H60" s="561">
        <f t="shared" si="2"/>
        <v>0</v>
      </c>
      <c r="I60" s="562"/>
      <c r="J60" s="561">
        <f t="shared" si="3"/>
        <v>0</v>
      </c>
    </row>
    <row r="61" spans="2:10">
      <c r="B61" s="169">
        <v>46</v>
      </c>
      <c r="C61" s="197"/>
      <c r="D61" s="200"/>
      <c r="E61" s="200"/>
      <c r="F61" s="201"/>
      <c r="G61" s="193"/>
      <c r="H61" s="561">
        <f t="shared" si="2"/>
        <v>0</v>
      </c>
      <c r="I61" s="562"/>
      <c r="J61" s="561">
        <f t="shared" si="3"/>
        <v>0</v>
      </c>
    </row>
    <row r="62" spans="2:10">
      <c r="B62" s="169">
        <v>47</v>
      </c>
      <c r="C62" s="197"/>
      <c r="D62" s="200"/>
      <c r="E62" s="200"/>
      <c r="F62" s="201"/>
      <c r="G62" s="193"/>
      <c r="H62" s="561">
        <f t="shared" si="2"/>
        <v>0</v>
      </c>
      <c r="I62" s="562"/>
      <c r="J62" s="561">
        <f t="shared" si="3"/>
        <v>0</v>
      </c>
    </row>
    <row r="63" spans="2:10">
      <c r="B63" s="169">
        <v>48</v>
      </c>
      <c r="C63" s="197"/>
      <c r="D63" s="200"/>
      <c r="E63" s="200"/>
      <c r="F63" s="201"/>
      <c r="G63" s="193"/>
      <c r="H63" s="561">
        <f t="shared" si="2"/>
        <v>0</v>
      </c>
      <c r="I63" s="562"/>
      <c r="J63" s="561">
        <f t="shared" si="3"/>
        <v>0</v>
      </c>
    </row>
    <row r="64" spans="2:10">
      <c r="B64" s="169">
        <v>49</v>
      </c>
      <c r="C64" s="197"/>
      <c r="D64" s="200"/>
      <c r="E64" s="200"/>
      <c r="F64" s="201"/>
      <c r="G64" s="193"/>
      <c r="H64" s="561">
        <f t="shared" si="2"/>
        <v>0</v>
      </c>
      <c r="I64" s="562"/>
      <c r="J64" s="561">
        <f t="shared" si="3"/>
        <v>0</v>
      </c>
    </row>
    <row r="65" spans="2:10">
      <c r="B65" s="169">
        <v>50</v>
      </c>
      <c r="C65" s="197"/>
      <c r="D65" s="200"/>
      <c r="E65" s="200"/>
      <c r="F65" s="201"/>
      <c r="G65" s="193"/>
      <c r="H65" s="561">
        <f t="shared" si="2"/>
        <v>0</v>
      </c>
      <c r="I65" s="562"/>
      <c r="J65" s="561">
        <f t="shared" si="3"/>
        <v>0</v>
      </c>
    </row>
    <row r="66" spans="2:10">
      <c r="B66" s="169">
        <v>51</v>
      </c>
      <c r="C66" s="197"/>
      <c r="D66" s="200"/>
      <c r="E66" s="200"/>
      <c r="F66" s="201"/>
      <c r="G66" s="193"/>
      <c r="H66" s="561">
        <f t="shared" si="2"/>
        <v>0</v>
      </c>
      <c r="I66" s="562"/>
      <c r="J66" s="561">
        <f t="shared" si="3"/>
        <v>0</v>
      </c>
    </row>
    <row r="67" spans="2:10">
      <c r="B67" s="169">
        <v>52</v>
      </c>
      <c r="C67" s="197"/>
      <c r="D67" s="200"/>
      <c r="E67" s="200"/>
      <c r="F67" s="201"/>
      <c r="G67" s="193"/>
      <c r="H67" s="561">
        <f t="shared" si="2"/>
        <v>0</v>
      </c>
      <c r="I67" s="562"/>
      <c r="J67" s="561">
        <f t="shared" si="3"/>
        <v>0</v>
      </c>
    </row>
    <row r="68" spans="2:10">
      <c r="B68" s="169">
        <v>53</v>
      </c>
      <c r="C68" s="197"/>
      <c r="D68" s="200"/>
      <c r="E68" s="200"/>
      <c r="F68" s="201"/>
      <c r="G68" s="193"/>
      <c r="H68" s="561">
        <f t="shared" si="2"/>
        <v>0</v>
      </c>
      <c r="I68" s="562"/>
      <c r="J68" s="561">
        <f t="shared" si="3"/>
        <v>0</v>
      </c>
    </row>
    <row r="69" spans="2:10">
      <c r="B69" s="169">
        <v>54</v>
      </c>
      <c r="C69" s="197"/>
      <c r="D69" s="200"/>
      <c r="E69" s="200"/>
      <c r="F69" s="201"/>
      <c r="G69" s="193"/>
      <c r="H69" s="561">
        <f t="shared" si="2"/>
        <v>0</v>
      </c>
      <c r="I69" s="562"/>
      <c r="J69" s="561">
        <f t="shared" si="3"/>
        <v>0</v>
      </c>
    </row>
    <row r="70" spans="2:10">
      <c r="B70" s="169">
        <v>55</v>
      </c>
      <c r="C70" s="197"/>
      <c r="D70" s="200"/>
      <c r="E70" s="200"/>
      <c r="F70" s="201"/>
      <c r="G70" s="193"/>
      <c r="H70" s="561">
        <f t="shared" si="2"/>
        <v>0</v>
      </c>
      <c r="I70" s="562"/>
      <c r="J70" s="561">
        <f t="shared" si="3"/>
        <v>0</v>
      </c>
    </row>
    <row r="71" spans="2:10">
      <c r="B71" s="169">
        <v>56</v>
      </c>
      <c r="C71" s="197"/>
      <c r="D71" s="200"/>
      <c r="E71" s="200"/>
      <c r="F71" s="201"/>
      <c r="G71" s="193"/>
      <c r="H71" s="561">
        <f t="shared" si="2"/>
        <v>0</v>
      </c>
      <c r="I71" s="562"/>
      <c r="J71" s="561">
        <f t="shared" si="3"/>
        <v>0</v>
      </c>
    </row>
    <row r="72" spans="2:10">
      <c r="B72" s="169">
        <v>57</v>
      </c>
      <c r="C72" s="197"/>
      <c r="D72" s="200"/>
      <c r="E72" s="200"/>
      <c r="F72" s="201"/>
      <c r="G72" s="193"/>
      <c r="H72" s="561">
        <f t="shared" si="2"/>
        <v>0</v>
      </c>
      <c r="I72" s="562"/>
      <c r="J72" s="561">
        <f t="shared" si="3"/>
        <v>0</v>
      </c>
    </row>
    <row r="73" spans="2:10">
      <c r="B73" s="169">
        <v>58</v>
      </c>
      <c r="C73" s="197"/>
      <c r="D73" s="200"/>
      <c r="E73" s="200"/>
      <c r="F73" s="201"/>
      <c r="G73" s="193"/>
      <c r="H73" s="561">
        <f t="shared" si="2"/>
        <v>0</v>
      </c>
      <c r="I73" s="562"/>
      <c r="J73" s="561">
        <f t="shared" si="3"/>
        <v>0</v>
      </c>
    </row>
    <row r="74" spans="2:10">
      <c r="B74" s="169">
        <v>59</v>
      </c>
      <c r="C74" s="197"/>
      <c r="D74" s="200"/>
      <c r="E74" s="200"/>
      <c r="F74" s="201"/>
      <c r="G74" s="193"/>
      <c r="H74" s="561">
        <f t="shared" si="2"/>
        <v>0</v>
      </c>
      <c r="I74" s="562"/>
      <c r="J74" s="561">
        <f t="shared" si="3"/>
        <v>0</v>
      </c>
    </row>
    <row r="75" spans="2:10" ht="13.5" thickBot="1">
      <c r="B75" s="169">
        <v>60</v>
      </c>
      <c r="C75" s="202"/>
      <c r="D75" s="203"/>
      <c r="E75" s="203"/>
      <c r="F75" s="204"/>
      <c r="G75" s="193"/>
      <c r="H75" s="563">
        <f t="shared" si="2"/>
        <v>0</v>
      </c>
      <c r="I75" s="562"/>
      <c r="J75" s="561">
        <f t="shared" si="3"/>
        <v>0</v>
      </c>
    </row>
    <row r="76" spans="2:10" s="772" customFormat="1" hidden="1">
      <c r="B76" s="773"/>
      <c r="C76" s="772" t="s">
        <v>528</v>
      </c>
      <c r="D76" s="774"/>
    </row>
    <row r="77" spans="2:10" s="772" customFormat="1" hidden="1">
      <c r="B77" s="773"/>
      <c r="C77" s="772" t="s">
        <v>529</v>
      </c>
      <c r="D77" s="774"/>
    </row>
    <row r="78" spans="2:10" s="772" customFormat="1" hidden="1">
      <c r="B78" s="773"/>
      <c r="C78" s="772" t="s">
        <v>530</v>
      </c>
      <c r="D78" s="774"/>
    </row>
    <row r="79" spans="2:10" s="772" customFormat="1" hidden="1">
      <c r="B79" s="773"/>
      <c r="C79" s="772" t="s">
        <v>531</v>
      </c>
      <c r="D79" s="774"/>
    </row>
    <row r="80" spans="2:10" s="772" customFormat="1" hidden="1">
      <c r="B80" s="773"/>
      <c r="C80" s="772" t="s">
        <v>532</v>
      </c>
      <c r="D80" s="774"/>
    </row>
    <row r="81" spans="2:4" s="772" customFormat="1" hidden="1">
      <c r="B81" s="773"/>
      <c r="C81" s="772" t="s">
        <v>533</v>
      </c>
      <c r="D81" s="774"/>
    </row>
    <row r="82" spans="2:4" s="772" customFormat="1" hidden="1">
      <c r="B82" s="773"/>
      <c r="C82" s="772" t="s">
        <v>534</v>
      </c>
      <c r="D82" s="774"/>
    </row>
    <row r="83" spans="2:4" s="772" customFormat="1" hidden="1">
      <c r="B83" s="773"/>
      <c r="C83" s="772" t="s">
        <v>535</v>
      </c>
      <c r="D83" s="774"/>
    </row>
    <row r="84" spans="2:4" s="772" customFormat="1" hidden="1">
      <c r="B84" s="773"/>
      <c r="C84" s="772" t="s">
        <v>536</v>
      </c>
      <c r="D84" s="774"/>
    </row>
    <row r="85" spans="2:4" s="772" customFormat="1" hidden="1">
      <c r="B85" s="773"/>
      <c r="C85" s="772" t="s">
        <v>537</v>
      </c>
      <c r="D85" s="774"/>
    </row>
    <row r="86" spans="2:4" s="772" customFormat="1" hidden="1">
      <c r="B86" s="773"/>
      <c r="C86" s="772" t="s">
        <v>538</v>
      </c>
      <c r="D86" s="774"/>
    </row>
    <row r="87" spans="2:4" s="772" customFormat="1" hidden="1">
      <c r="B87" s="773"/>
      <c r="C87" s="772" t="s">
        <v>539</v>
      </c>
      <c r="D87" s="774"/>
    </row>
    <row r="88" spans="2:4" s="772" customFormat="1" hidden="1">
      <c r="B88" s="773"/>
      <c r="C88" s="772" t="s">
        <v>540</v>
      </c>
      <c r="D88" s="774"/>
    </row>
    <row r="89" spans="2:4" s="772" customFormat="1" hidden="1">
      <c r="B89" s="773"/>
      <c r="C89" s="772" t="s">
        <v>541</v>
      </c>
      <c r="D89" s="774"/>
    </row>
    <row r="90" spans="2:4" s="772" customFormat="1" hidden="1">
      <c r="B90" s="773"/>
      <c r="C90" s="772" t="s">
        <v>542</v>
      </c>
      <c r="D90" s="774"/>
    </row>
    <row r="91" spans="2:4" s="772" customFormat="1" hidden="1">
      <c r="B91" s="773"/>
      <c r="C91" s="772" t="s">
        <v>543</v>
      </c>
      <c r="D91" s="774"/>
    </row>
    <row r="92" spans="2:4" s="772" customFormat="1" hidden="1">
      <c r="B92" s="773"/>
      <c r="C92" s="772" t="s">
        <v>544</v>
      </c>
      <c r="D92" s="774"/>
    </row>
    <row r="93" spans="2:4" s="772" customFormat="1" hidden="1">
      <c r="B93" s="773"/>
      <c r="C93" s="772" t="s">
        <v>545</v>
      </c>
      <c r="D93" s="774"/>
    </row>
    <row r="94" spans="2:4" s="772" customFormat="1" hidden="1">
      <c r="B94" s="773"/>
      <c r="C94" s="772" t="s">
        <v>546</v>
      </c>
      <c r="D94" s="774"/>
    </row>
    <row r="95" spans="2:4" s="772" customFormat="1" hidden="1">
      <c r="B95" s="773"/>
      <c r="C95" s="772" t="s">
        <v>547</v>
      </c>
      <c r="D95" s="774"/>
    </row>
    <row r="96" spans="2:4" s="772" customFormat="1" hidden="1">
      <c r="B96" s="773"/>
      <c r="C96" s="772" t="s">
        <v>548</v>
      </c>
      <c r="D96" s="774"/>
    </row>
    <row r="97" spans="2:4" s="772" customFormat="1" hidden="1">
      <c r="B97" s="773"/>
      <c r="C97" s="772" t="s">
        <v>549</v>
      </c>
      <c r="D97" s="774"/>
    </row>
    <row r="98" spans="2:4" s="772" customFormat="1" hidden="1">
      <c r="B98" s="773"/>
      <c r="C98" s="772" t="s">
        <v>550</v>
      </c>
      <c r="D98" s="774"/>
    </row>
    <row r="99" spans="2:4" s="772" customFormat="1" hidden="1">
      <c r="B99" s="773"/>
      <c r="C99" s="772" t="s">
        <v>551</v>
      </c>
      <c r="D99" s="774"/>
    </row>
    <row r="100" spans="2:4" s="772" customFormat="1" hidden="1">
      <c r="B100" s="773"/>
      <c r="C100" s="772" t="s">
        <v>552</v>
      </c>
      <c r="D100" s="774"/>
    </row>
    <row r="101" spans="2:4" s="772" customFormat="1" hidden="1">
      <c r="B101" s="773"/>
      <c r="C101" s="772" t="s">
        <v>553</v>
      </c>
      <c r="D101" s="774"/>
    </row>
    <row r="102" spans="2:4" s="772" customFormat="1" hidden="1">
      <c r="B102" s="773"/>
      <c r="C102" s="772" t="s">
        <v>554</v>
      </c>
      <c r="D102" s="774"/>
    </row>
    <row r="103" spans="2:4" s="772" customFormat="1" hidden="1">
      <c r="B103" s="773"/>
      <c r="C103" s="772" t="s">
        <v>555</v>
      </c>
      <c r="D103" s="774"/>
    </row>
    <row r="104" spans="2:4" s="772" customFormat="1" hidden="1">
      <c r="B104" s="773"/>
      <c r="C104" s="772" t="s">
        <v>556</v>
      </c>
      <c r="D104" s="774"/>
    </row>
    <row r="105" spans="2:4" s="772" customFormat="1" hidden="1">
      <c r="B105" s="773"/>
      <c r="C105" s="772" t="s">
        <v>557</v>
      </c>
      <c r="D105" s="774"/>
    </row>
    <row r="106" spans="2:4" s="772" customFormat="1" hidden="1">
      <c r="B106" s="773"/>
      <c r="C106" s="772" t="s">
        <v>558</v>
      </c>
      <c r="D106" s="774"/>
    </row>
    <row r="107" spans="2:4" s="772" customFormat="1" hidden="1">
      <c r="B107" s="773"/>
      <c r="C107" s="772" t="s">
        <v>559</v>
      </c>
      <c r="D107" s="774"/>
    </row>
    <row r="108" spans="2:4" s="772" customFormat="1" hidden="1">
      <c r="B108" s="773"/>
      <c r="C108" s="772" t="s">
        <v>560</v>
      </c>
      <c r="D108" s="774"/>
    </row>
    <row r="109" spans="2:4" s="772" customFormat="1" hidden="1">
      <c r="B109" s="773"/>
      <c r="C109" s="772" t="s">
        <v>561</v>
      </c>
      <c r="D109" s="774"/>
    </row>
    <row r="110" spans="2:4" s="772" customFormat="1" hidden="1">
      <c r="B110" s="773"/>
      <c r="C110" s="772" t="s">
        <v>562</v>
      </c>
      <c r="D110" s="774"/>
    </row>
    <row r="111" spans="2:4" s="772" customFormat="1" hidden="1">
      <c r="B111" s="773"/>
      <c r="C111" s="772" t="s">
        <v>563</v>
      </c>
      <c r="D111" s="774"/>
    </row>
    <row r="112" spans="2:4" s="772" customFormat="1" hidden="1">
      <c r="B112" s="773"/>
      <c r="C112" s="772" t="s">
        <v>564</v>
      </c>
      <c r="D112" s="774"/>
    </row>
    <row r="113" spans="2:10" s="772" customFormat="1" hidden="1">
      <c r="B113" s="773"/>
      <c r="C113" s="772" t="s">
        <v>565</v>
      </c>
      <c r="D113" s="774"/>
    </row>
    <row r="114" spans="2:10" s="772" customFormat="1" hidden="1">
      <c r="B114" s="773"/>
      <c r="C114" s="772" t="s">
        <v>566</v>
      </c>
      <c r="D114" s="774"/>
    </row>
    <row r="115" spans="2:10" s="772" customFormat="1" hidden="1">
      <c r="B115" s="773"/>
      <c r="C115" s="772" t="s">
        <v>567</v>
      </c>
      <c r="D115" s="774"/>
    </row>
    <row r="116" spans="2:10" s="772" customFormat="1" hidden="1">
      <c r="B116" s="773"/>
      <c r="C116" s="772" t="s">
        <v>568</v>
      </c>
      <c r="D116" s="774"/>
    </row>
    <row r="117" spans="2:10" s="772" customFormat="1" hidden="1">
      <c r="B117" s="773"/>
      <c r="C117" s="772" t="s">
        <v>569</v>
      </c>
      <c r="D117" s="774"/>
    </row>
    <row r="118" spans="2:10">
      <c r="C118" s="194"/>
      <c r="D118" s="195"/>
      <c r="E118" s="195"/>
      <c r="F118" s="196"/>
      <c r="G118" s="193"/>
      <c r="H118" s="193"/>
      <c r="I118" s="193"/>
      <c r="J118" s="193"/>
    </row>
    <row r="119" spans="2:10" ht="36.75" customHeight="1">
      <c r="C119" s="1062" t="s">
        <v>593</v>
      </c>
      <c r="D119" s="1062"/>
      <c r="E119" s="1062"/>
      <c r="F119" s="1062"/>
      <c r="G119" s="1062"/>
      <c r="H119" s="1062"/>
      <c r="I119" s="1062"/>
      <c r="J119" s="1062"/>
    </row>
  </sheetData>
  <sheetProtection password="CADB" sheet="1" objects="1" scenarios="1"/>
  <mergeCells count="7">
    <mergeCell ref="C119:J119"/>
    <mergeCell ref="G6:H7"/>
    <mergeCell ref="E6:F7"/>
    <mergeCell ref="C4:J4"/>
    <mergeCell ref="J8:K9"/>
    <mergeCell ref="D6:D7"/>
    <mergeCell ref="C6:C7"/>
  </mergeCells>
  <phoneticPr fontId="0" type="noConversion"/>
  <printOptions horizontalCentered="1"/>
  <pageMargins left="0.32" right="0.24" top="0.98425196850393704" bottom="0.98425196850393704" header="0.51181102362204722" footer="0.51181102362204722"/>
  <pageSetup paperSize="9" scale="90" orientation="portrait" blackAndWhite="1" horizontalDpi="300" verticalDpi="300" r:id="rId1"/>
  <headerFooter alignWithMargins="0">
    <oddFooter>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B1:N811"/>
  <sheetViews>
    <sheetView showGridLines="0" showZeros="0" topLeftCell="A2" workbookViewId="0">
      <pane ySplit="10" topLeftCell="A12" activePane="bottomLeft" state="frozenSplit"/>
      <selection activeCell="C6" sqref="C6:Q6"/>
      <selection pane="bottomLeft" activeCell="A12" sqref="A12"/>
    </sheetView>
  </sheetViews>
  <sheetFormatPr defaultRowHeight="12.75"/>
  <cols>
    <col min="1" max="1" width="2.42578125" style="170" customWidth="1"/>
    <col min="2" max="2" width="3.42578125" style="745" customWidth="1"/>
    <col min="3" max="3" width="36" style="170" customWidth="1"/>
    <col min="4" max="4" width="6.85546875" style="170" customWidth="1"/>
    <col min="5" max="5" width="9.5703125" style="746" customWidth="1"/>
    <col min="6" max="6" width="10.5703125" style="170" customWidth="1"/>
    <col min="7" max="7" width="1.85546875" style="170" customWidth="1"/>
    <col min="8" max="8" width="9.85546875" style="170" customWidth="1"/>
    <col min="9" max="9" width="1.85546875" style="170" customWidth="1"/>
    <col min="10" max="10" width="10.28515625" style="170" customWidth="1"/>
    <col min="11" max="11" width="1.85546875" style="170" customWidth="1"/>
    <col min="12" max="12" width="11.5703125" style="170" bestFit="1" customWidth="1"/>
    <col min="13" max="13" width="1.85546875" style="170" customWidth="1"/>
    <col min="14" max="14" width="14" style="170" customWidth="1"/>
    <col min="15" max="15" width="1.85546875" style="170" customWidth="1"/>
    <col min="16" max="16" width="10.28515625" style="170" customWidth="1"/>
    <col min="17" max="17" width="1.7109375" style="170" customWidth="1"/>
    <col min="18" max="16384" width="9.140625" style="170"/>
  </cols>
  <sheetData>
    <row r="1" spans="2:14" ht="9" customHeight="1"/>
    <row r="2" spans="2:14" ht="9" customHeight="1"/>
    <row r="3" spans="2:14" ht="16.5" customHeight="1">
      <c r="E3" s="170"/>
    </row>
    <row r="4" spans="2:14" ht="5.25" customHeight="1"/>
    <row r="5" spans="2:14" ht="18" customHeight="1" thickBot="1">
      <c r="C5" s="1069" t="s">
        <v>178</v>
      </c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1"/>
    </row>
    <row r="6" spans="2:14" ht="9.75" customHeight="1"/>
    <row r="7" spans="2:14" s="181" customFormat="1" ht="11.25" customHeight="1">
      <c r="C7" s="747" t="s">
        <v>129</v>
      </c>
      <c r="D7" s="748" t="s">
        <v>122</v>
      </c>
      <c r="E7" s="749" t="s">
        <v>123</v>
      </c>
      <c r="F7" s="748" t="s">
        <v>124</v>
      </c>
      <c r="G7" s="748"/>
      <c r="H7" s="748" t="s">
        <v>125</v>
      </c>
      <c r="I7" s="748"/>
      <c r="J7" s="748" t="s">
        <v>126</v>
      </c>
      <c r="K7" s="748"/>
      <c r="L7" s="748" t="s">
        <v>127</v>
      </c>
      <c r="M7" s="748"/>
      <c r="N7" s="748" t="s">
        <v>128</v>
      </c>
    </row>
    <row r="8" spans="2:14" s="752" customFormat="1" ht="25.5" customHeight="1" thickBot="1">
      <c r="B8" s="750"/>
      <c r="C8" s="158" t="s">
        <v>167</v>
      </c>
      <c r="D8" s="158" t="s">
        <v>67</v>
      </c>
      <c r="E8" s="758" t="s">
        <v>66</v>
      </c>
      <c r="F8" s="158" t="s">
        <v>85</v>
      </c>
      <c r="G8" s="756"/>
      <c r="H8" s="158" t="s">
        <v>86</v>
      </c>
      <c r="I8" s="757"/>
      <c r="J8" s="158" t="s">
        <v>87</v>
      </c>
      <c r="K8" s="757"/>
      <c r="L8" s="158" t="s">
        <v>83</v>
      </c>
      <c r="M8" s="757"/>
      <c r="N8" s="158" t="s">
        <v>82</v>
      </c>
    </row>
    <row r="9" spans="2:14" s="752" customFormat="1" ht="6.75" customHeight="1">
      <c r="B9" s="750"/>
      <c r="C9" s="144"/>
      <c r="D9" s="144"/>
      <c r="E9" s="753"/>
      <c r="F9" s="144"/>
      <c r="G9" s="153"/>
      <c r="H9" s="144"/>
      <c r="I9" s="751"/>
      <c r="J9" s="144"/>
      <c r="K9" s="751"/>
      <c r="L9" s="144"/>
      <c r="M9" s="751"/>
      <c r="N9" s="144"/>
    </row>
    <row r="10" spans="2:14" s="752" customFormat="1" ht="19.5" customHeight="1" thickBot="1">
      <c r="B10" s="750"/>
      <c r="C10" s="144"/>
      <c r="D10" s="144"/>
      <c r="E10" s="753"/>
      <c r="F10" s="144"/>
      <c r="G10" s="153"/>
      <c r="H10" s="144"/>
      <c r="I10" s="751"/>
      <c r="J10" s="405" t="s">
        <v>183</v>
      </c>
      <c r="K10" s="751"/>
      <c r="L10" s="820">
        <f>TRUNC((SUM(L13:L612)),2)</f>
        <v>397.2</v>
      </c>
      <c r="M10" s="771"/>
      <c r="N10" s="767">
        <f>L10*12</f>
        <v>4766.3999999999996</v>
      </c>
    </row>
    <row r="11" spans="2:14" s="752" customFormat="1" ht="3" customHeight="1">
      <c r="B11" s="750"/>
      <c r="C11" s="144"/>
      <c r="D11" s="144"/>
      <c r="E11" s="753"/>
      <c r="F11" s="144"/>
      <c r="G11" s="153"/>
      <c r="H11" s="144"/>
      <c r="I11" s="751"/>
      <c r="J11" s="144"/>
      <c r="K11" s="751"/>
      <c r="L11" s="179"/>
      <c r="M11" s="751"/>
      <c r="N11" s="179"/>
    </row>
    <row r="12" spans="2:14" ht="9.75" customHeight="1">
      <c r="C12" s="188"/>
      <c r="D12" s="754"/>
      <c r="E12" s="755"/>
      <c r="F12" s="191"/>
      <c r="G12" s="191"/>
      <c r="H12" s="192"/>
      <c r="I12" s="192"/>
      <c r="J12" s="192"/>
      <c r="K12" s="192"/>
      <c r="L12" s="192"/>
      <c r="M12" s="192"/>
      <c r="N12" s="192"/>
    </row>
    <row r="13" spans="2:14">
      <c r="B13" s="745">
        <v>1</v>
      </c>
      <c r="C13" s="965" t="s">
        <v>647</v>
      </c>
      <c r="D13" s="966" t="s">
        <v>636</v>
      </c>
      <c r="E13" s="967">
        <v>1</v>
      </c>
      <c r="F13" s="500">
        <v>24.54</v>
      </c>
      <c r="G13" s="193"/>
      <c r="H13" s="555">
        <f>IF(Consolidado_A!$G$133&gt;=7.6%,-(0.0165+0.076)*F13,0)</f>
        <v>-2.2699499999999997</v>
      </c>
      <c r="I13" s="193"/>
      <c r="J13" s="561">
        <f t="shared" ref="J13:J76" si="0">F13+H13</f>
        <v>22.270049999999998</v>
      </c>
      <c r="K13" s="193"/>
      <c r="L13" s="561">
        <f t="shared" ref="L13:L76" si="1">J13*E13</f>
        <v>22.270049999999998</v>
      </c>
      <c r="M13" s="193"/>
      <c r="N13" s="561">
        <f t="shared" ref="N13:N76" si="2">L13*12</f>
        <v>267.24059999999997</v>
      </c>
    </row>
    <row r="14" spans="2:14">
      <c r="B14" s="745">
        <v>2</v>
      </c>
      <c r="C14" s="965" t="s">
        <v>648</v>
      </c>
      <c r="D14" s="966" t="s">
        <v>637</v>
      </c>
      <c r="E14" s="967">
        <v>1</v>
      </c>
      <c r="F14" s="500">
        <v>17.27</v>
      </c>
      <c r="G14" s="193"/>
      <c r="H14" s="555">
        <f>IF(Consolidado_A!$G$133&gt;=7.6%,-(0.0165+0.076)*F14,0)</f>
        <v>-1.597475</v>
      </c>
      <c r="I14" s="193"/>
      <c r="J14" s="561">
        <f t="shared" si="0"/>
        <v>15.672525</v>
      </c>
      <c r="K14" s="193"/>
      <c r="L14" s="561">
        <f t="shared" si="1"/>
        <v>15.672525</v>
      </c>
      <c r="M14" s="193"/>
      <c r="N14" s="561">
        <f t="shared" si="2"/>
        <v>188.0703</v>
      </c>
    </row>
    <row r="15" spans="2:14" ht="25.5">
      <c r="B15" s="745">
        <v>3</v>
      </c>
      <c r="C15" s="965" t="s">
        <v>641</v>
      </c>
      <c r="D15" s="966" t="s">
        <v>636</v>
      </c>
      <c r="E15" s="967">
        <v>1</v>
      </c>
      <c r="F15" s="500">
        <v>21.44</v>
      </c>
      <c r="G15" s="193"/>
      <c r="H15" s="555">
        <f>IF(Consolidado_A!$G$133&gt;=7.6%,-(0.0165+0.076)*F15,0)</f>
        <v>-1.9832000000000001</v>
      </c>
      <c r="I15" s="193"/>
      <c r="J15" s="561">
        <f t="shared" si="0"/>
        <v>19.456800000000001</v>
      </c>
      <c r="K15" s="193"/>
      <c r="L15" s="561">
        <f t="shared" si="1"/>
        <v>19.456800000000001</v>
      </c>
      <c r="M15" s="193"/>
      <c r="N15" s="561">
        <f t="shared" si="2"/>
        <v>233.48160000000001</v>
      </c>
    </row>
    <row r="16" spans="2:14">
      <c r="B16" s="745">
        <v>4</v>
      </c>
      <c r="C16" s="965" t="s">
        <v>638</v>
      </c>
      <c r="D16" s="966" t="s">
        <v>637</v>
      </c>
      <c r="E16" s="967">
        <v>2</v>
      </c>
      <c r="F16" s="500">
        <v>4.37</v>
      </c>
      <c r="G16" s="193"/>
      <c r="H16" s="555">
        <f>IF(Consolidado_A!$G$133&gt;=7.6%,-(0.0165+0.076)*F16,0)</f>
        <v>-0.404225</v>
      </c>
      <c r="I16" s="193"/>
      <c r="J16" s="561">
        <f t="shared" si="0"/>
        <v>3.9657750000000003</v>
      </c>
      <c r="K16" s="193"/>
      <c r="L16" s="561">
        <f t="shared" si="1"/>
        <v>7.9315500000000005</v>
      </c>
      <c r="M16" s="193"/>
      <c r="N16" s="561">
        <f t="shared" si="2"/>
        <v>95.178600000000003</v>
      </c>
    </row>
    <row r="17" spans="2:14">
      <c r="B17" s="745">
        <v>5</v>
      </c>
      <c r="C17" s="965" t="s">
        <v>649</v>
      </c>
      <c r="D17" s="966" t="s">
        <v>637</v>
      </c>
      <c r="E17" s="967">
        <v>1</v>
      </c>
      <c r="F17" s="500">
        <v>30.34</v>
      </c>
      <c r="G17" s="193"/>
      <c r="H17" s="555">
        <f>IF(Consolidado_A!$G$133&gt;=7.6%,-(0.0165+0.076)*F17,0)</f>
        <v>-2.8064499999999999</v>
      </c>
      <c r="I17" s="193"/>
      <c r="J17" s="561">
        <f t="shared" si="0"/>
        <v>27.533549999999998</v>
      </c>
      <c r="K17" s="193"/>
      <c r="L17" s="561">
        <f t="shared" si="1"/>
        <v>27.533549999999998</v>
      </c>
      <c r="M17" s="193"/>
      <c r="N17" s="561">
        <f t="shared" si="2"/>
        <v>330.40260000000001</v>
      </c>
    </row>
    <row r="18" spans="2:14">
      <c r="B18" s="745">
        <v>6</v>
      </c>
      <c r="C18" s="968" t="s">
        <v>650</v>
      </c>
      <c r="D18" s="969" t="s">
        <v>631</v>
      </c>
      <c r="E18" s="967">
        <v>3</v>
      </c>
      <c r="F18" s="500">
        <v>16.57</v>
      </c>
      <c r="G18" s="193"/>
      <c r="H18" s="555">
        <f>IF(Consolidado_A!$G$133&gt;=7.6%,-(0.0165+0.076)*F18,0)</f>
        <v>-1.5327250000000001</v>
      </c>
      <c r="I18" s="193"/>
      <c r="J18" s="561">
        <f t="shared" si="0"/>
        <v>15.037275000000001</v>
      </c>
      <c r="K18" s="193"/>
      <c r="L18" s="561">
        <f t="shared" si="1"/>
        <v>45.111825000000003</v>
      </c>
      <c r="M18" s="193"/>
      <c r="N18" s="561">
        <f t="shared" si="2"/>
        <v>541.34190000000001</v>
      </c>
    </row>
    <row r="19" spans="2:14">
      <c r="B19" s="745">
        <v>7</v>
      </c>
      <c r="C19" s="968" t="s">
        <v>653</v>
      </c>
      <c r="D19" s="969" t="s">
        <v>646</v>
      </c>
      <c r="E19" s="970">
        <v>7</v>
      </c>
      <c r="F19" s="500">
        <v>2.62</v>
      </c>
      <c r="G19" s="193"/>
      <c r="H19" s="555">
        <f>IF(Consolidado_A!$G$133&gt;=7.6%,-(0.0165+0.076)*F19,0)</f>
        <v>-0.24235000000000001</v>
      </c>
      <c r="I19" s="193"/>
      <c r="J19" s="561">
        <f t="shared" si="0"/>
        <v>2.37765</v>
      </c>
      <c r="K19" s="193"/>
      <c r="L19" s="561">
        <f t="shared" si="1"/>
        <v>16.643550000000001</v>
      </c>
      <c r="M19" s="193"/>
      <c r="N19" s="561">
        <f t="shared" si="2"/>
        <v>199.7226</v>
      </c>
    </row>
    <row r="20" spans="2:14">
      <c r="B20" s="745">
        <v>8</v>
      </c>
      <c r="C20" s="968" t="s">
        <v>651</v>
      </c>
      <c r="D20" s="969" t="s">
        <v>646</v>
      </c>
      <c r="E20" s="970">
        <v>3</v>
      </c>
      <c r="F20" s="500">
        <v>14</v>
      </c>
      <c r="G20" s="193"/>
      <c r="H20" s="555">
        <f>IF(Consolidado_A!$G$133&gt;=7.6%,-(0.0165+0.076)*F20,0)</f>
        <v>-1.2949999999999999</v>
      </c>
      <c r="I20" s="193"/>
      <c r="J20" s="561">
        <f t="shared" si="0"/>
        <v>12.705</v>
      </c>
      <c r="K20" s="193"/>
      <c r="L20" s="561">
        <f t="shared" si="1"/>
        <v>38.115000000000002</v>
      </c>
      <c r="M20" s="193"/>
      <c r="N20" s="561">
        <f t="shared" si="2"/>
        <v>457.38</v>
      </c>
    </row>
    <row r="21" spans="2:14">
      <c r="B21" s="745">
        <v>9</v>
      </c>
      <c r="C21" s="965" t="s">
        <v>652</v>
      </c>
      <c r="D21" s="966" t="s">
        <v>636</v>
      </c>
      <c r="E21" s="967">
        <v>1</v>
      </c>
      <c r="F21" s="500">
        <v>10.46</v>
      </c>
      <c r="G21" s="193"/>
      <c r="H21" s="555">
        <f>IF(Consolidado_A!$G$133&gt;=7.6%,-(0.0165+0.076)*F21,0)</f>
        <v>-0.96755000000000002</v>
      </c>
      <c r="I21" s="193"/>
      <c r="J21" s="561">
        <f t="shared" si="0"/>
        <v>9.4924500000000016</v>
      </c>
      <c r="K21" s="193"/>
      <c r="L21" s="561">
        <f t="shared" si="1"/>
        <v>9.4924500000000016</v>
      </c>
      <c r="M21" s="193"/>
      <c r="N21" s="561">
        <f t="shared" si="2"/>
        <v>113.90940000000002</v>
      </c>
    </row>
    <row r="22" spans="2:14">
      <c r="B22" s="745">
        <v>10</v>
      </c>
      <c r="C22" s="965" t="s">
        <v>642</v>
      </c>
      <c r="D22" s="966" t="s">
        <v>637</v>
      </c>
      <c r="E22" s="967">
        <v>1</v>
      </c>
      <c r="F22" s="500">
        <v>15.07</v>
      </c>
      <c r="G22" s="193"/>
      <c r="H22" s="555">
        <f>IF(Consolidado_A!$G$133&gt;=7.6%,-(0.0165+0.076)*F22,0)</f>
        <v>-1.393975</v>
      </c>
      <c r="I22" s="193"/>
      <c r="J22" s="561">
        <f t="shared" si="0"/>
        <v>13.676025000000001</v>
      </c>
      <c r="K22" s="193"/>
      <c r="L22" s="561">
        <f t="shared" si="1"/>
        <v>13.676025000000001</v>
      </c>
      <c r="M22" s="193"/>
      <c r="N22" s="561">
        <f t="shared" si="2"/>
        <v>164.1123</v>
      </c>
    </row>
    <row r="23" spans="2:14">
      <c r="B23" s="745">
        <v>11</v>
      </c>
      <c r="C23" s="965" t="s">
        <v>645</v>
      </c>
      <c r="D23" s="966" t="s">
        <v>637</v>
      </c>
      <c r="E23" s="967">
        <v>1</v>
      </c>
      <c r="F23" s="500">
        <v>6.18</v>
      </c>
      <c r="G23" s="193"/>
      <c r="H23" s="555">
        <f>IF(Consolidado_A!$G$133&gt;=7.6%,-(0.0165+0.076)*F23,0)</f>
        <v>-0.57164999999999999</v>
      </c>
      <c r="I23" s="193"/>
      <c r="J23" s="561">
        <f t="shared" si="0"/>
        <v>5.6083499999999997</v>
      </c>
      <c r="K23" s="193"/>
      <c r="L23" s="561">
        <f t="shared" si="1"/>
        <v>5.6083499999999997</v>
      </c>
      <c r="M23" s="193"/>
      <c r="N23" s="561">
        <f t="shared" si="2"/>
        <v>67.30019999999999</v>
      </c>
    </row>
    <row r="24" spans="2:14">
      <c r="B24" s="745">
        <v>12</v>
      </c>
      <c r="C24" s="965" t="s">
        <v>634</v>
      </c>
      <c r="D24" s="966" t="s">
        <v>646</v>
      </c>
      <c r="E24" s="967">
        <v>5</v>
      </c>
      <c r="F24" s="500">
        <v>0.57999999999999996</v>
      </c>
      <c r="G24" s="193"/>
      <c r="H24" s="555">
        <f>IF(Consolidado_A!$G$133&gt;=7.6%,-(0.0165+0.076)*F24,0)</f>
        <v>-5.3649999999999996E-2</v>
      </c>
      <c r="I24" s="193"/>
      <c r="J24" s="561">
        <f t="shared" si="0"/>
        <v>0.52634999999999998</v>
      </c>
      <c r="K24" s="193"/>
      <c r="L24" s="561">
        <f t="shared" si="1"/>
        <v>2.6317499999999998</v>
      </c>
      <c r="M24" s="193"/>
      <c r="N24" s="561">
        <f t="shared" si="2"/>
        <v>31.580999999999996</v>
      </c>
    </row>
    <row r="25" spans="2:14">
      <c r="B25" s="745">
        <v>13</v>
      </c>
      <c r="C25" s="965" t="s">
        <v>633</v>
      </c>
      <c r="D25" s="966" t="s">
        <v>646</v>
      </c>
      <c r="E25" s="967">
        <v>30</v>
      </c>
      <c r="F25" s="500">
        <v>0.72</v>
      </c>
      <c r="G25" s="193"/>
      <c r="H25" s="555">
        <f>IF(Consolidado_A!$G$133&gt;=7.6%,-(0.0165+0.076)*F25,0)</f>
        <v>-6.6599999999999993E-2</v>
      </c>
      <c r="I25" s="193"/>
      <c r="J25" s="561">
        <f t="shared" si="0"/>
        <v>0.65339999999999998</v>
      </c>
      <c r="K25" s="193"/>
      <c r="L25" s="561">
        <f t="shared" si="1"/>
        <v>19.602</v>
      </c>
      <c r="M25" s="193"/>
      <c r="N25" s="561">
        <f t="shared" si="2"/>
        <v>235.22399999999999</v>
      </c>
    </row>
    <row r="26" spans="2:14">
      <c r="B26" s="745">
        <v>14</v>
      </c>
      <c r="C26" s="965" t="s">
        <v>635</v>
      </c>
      <c r="D26" s="966" t="s">
        <v>646</v>
      </c>
      <c r="E26" s="967">
        <v>5</v>
      </c>
      <c r="F26" s="500">
        <v>0.83</v>
      </c>
      <c r="G26" s="193"/>
      <c r="H26" s="555">
        <f>IF(Consolidado_A!$G$133&gt;=7.6%,-(0.0165+0.076)*F26,0)</f>
        <v>-7.6774999999999996E-2</v>
      </c>
      <c r="I26" s="193"/>
      <c r="J26" s="561">
        <f t="shared" si="0"/>
        <v>0.75322499999999992</v>
      </c>
      <c r="K26" s="193"/>
      <c r="L26" s="561">
        <f t="shared" si="1"/>
        <v>3.7661249999999997</v>
      </c>
      <c r="M26" s="193"/>
      <c r="N26" s="561">
        <f t="shared" si="2"/>
        <v>45.1935</v>
      </c>
    </row>
    <row r="27" spans="2:14">
      <c r="B27" s="745">
        <v>15</v>
      </c>
      <c r="C27" s="965" t="s">
        <v>632</v>
      </c>
      <c r="D27" s="966" t="s">
        <v>646</v>
      </c>
      <c r="E27" s="967">
        <v>10</v>
      </c>
      <c r="F27" s="500">
        <v>0.76</v>
      </c>
      <c r="G27" s="193"/>
      <c r="H27" s="555">
        <f>IF(Consolidado_A!$G$133&gt;=7.6%,-(0.0165+0.076)*F27,0)</f>
        <v>-7.0300000000000001E-2</v>
      </c>
      <c r="I27" s="193"/>
      <c r="J27" s="561">
        <f t="shared" si="0"/>
        <v>0.68969999999999998</v>
      </c>
      <c r="K27" s="193"/>
      <c r="L27" s="561">
        <f t="shared" si="1"/>
        <v>6.8970000000000002</v>
      </c>
      <c r="M27" s="193"/>
      <c r="N27" s="561">
        <f t="shared" si="2"/>
        <v>82.76400000000001</v>
      </c>
    </row>
    <row r="28" spans="2:14">
      <c r="B28" s="745">
        <v>16</v>
      </c>
      <c r="C28" s="965" t="s">
        <v>644</v>
      </c>
      <c r="D28" s="966" t="s">
        <v>637</v>
      </c>
      <c r="E28" s="967">
        <v>3</v>
      </c>
      <c r="F28" s="500">
        <v>3.55</v>
      </c>
      <c r="G28" s="193"/>
      <c r="H28" s="555">
        <f>IF(Consolidado_A!$G$133&gt;=7.6%,-(0.0165+0.076)*F28,0)</f>
        <v>-0.32837499999999997</v>
      </c>
      <c r="I28" s="193"/>
      <c r="J28" s="561">
        <f t="shared" si="0"/>
        <v>3.221625</v>
      </c>
      <c r="K28" s="193"/>
      <c r="L28" s="561">
        <f t="shared" si="1"/>
        <v>9.6648750000000003</v>
      </c>
      <c r="M28" s="193"/>
      <c r="N28" s="561">
        <f t="shared" si="2"/>
        <v>115.9785</v>
      </c>
    </row>
    <row r="29" spans="2:14">
      <c r="B29" s="745">
        <v>17</v>
      </c>
      <c r="C29" s="965" t="s">
        <v>639</v>
      </c>
      <c r="D29" s="966" t="s">
        <v>646</v>
      </c>
      <c r="E29" s="967">
        <v>14</v>
      </c>
      <c r="F29" s="500">
        <v>7.39</v>
      </c>
      <c r="G29" s="193"/>
      <c r="H29" s="555">
        <f>IF(Consolidado_A!$G$133&gt;=7.6%,-(0.0165+0.076)*F29,0)</f>
        <v>-0.68357499999999993</v>
      </c>
      <c r="I29" s="193"/>
      <c r="J29" s="561">
        <f t="shared" si="0"/>
        <v>6.7064249999999994</v>
      </c>
      <c r="K29" s="193"/>
      <c r="L29" s="561">
        <f t="shared" si="1"/>
        <v>93.889949999999999</v>
      </c>
      <c r="M29" s="193"/>
      <c r="N29" s="561">
        <f t="shared" si="2"/>
        <v>1126.6794</v>
      </c>
    </row>
    <row r="30" spans="2:14">
      <c r="B30" s="745">
        <v>18</v>
      </c>
      <c r="C30" s="965" t="s">
        <v>643</v>
      </c>
      <c r="D30" s="966" t="s">
        <v>637</v>
      </c>
      <c r="E30" s="967">
        <v>2</v>
      </c>
      <c r="F30" s="500">
        <v>14.72</v>
      </c>
      <c r="G30" s="193"/>
      <c r="H30" s="555">
        <f>IF(Consolidado_A!$G$133&gt;=7.6%,-(0.0165+0.076)*F30,0)</f>
        <v>-1.3616000000000001</v>
      </c>
      <c r="I30" s="193"/>
      <c r="J30" s="561">
        <f t="shared" si="0"/>
        <v>13.3584</v>
      </c>
      <c r="K30" s="193"/>
      <c r="L30" s="561">
        <f t="shared" si="1"/>
        <v>26.716799999999999</v>
      </c>
      <c r="M30" s="193"/>
      <c r="N30" s="561">
        <f t="shared" si="2"/>
        <v>320.60159999999996</v>
      </c>
    </row>
    <row r="31" spans="2:14">
      <c r="B31" s="745">
        <v>19</v>
      </c>
      <c r="C31" s="965" t="s">
        <v>640</v>
      </c>
      <c r="D31" s="966" t="s">
        <v>637</v>
      </c>
      <c r="E31" s="967">
        <v>1</v>
      </c>
      <c r="F31" s="500">
        <v>13.8</v>
      </c>
      <c r="G31" s="193"/>
      <c r="H31" s="555">
        <f>IF(Consolidado_A!$G$133&gt;=7.6%,-(0.0165+0.076)*F31,0)</f>
        <v>-1.2765</v>
      </c>
      <c r="I31" s="193"/>
      <c r="J31" s="561">
        <f t="shared" si="0"/>
        <v>12.5235</v>
      </c>
      <c r="K31" s="193"/>
      <c r="L31" s="561">
        <f t="shared" si="1"/>
        <v>12.5235</v>
      </c>
      <c r="M31" s="193"/>
      <c r="N31" s="561">
        <f t="shared" si="2"/>
        <v>150.28200000000001</v>
      </c>
    </row>
    <row r="32" spans="2:14">
      <c r="B32" s="745">
        <v>20</v>
      </c>
      <c r="C32" s="759"/>
      <c r="D32" s="760"/>
      <c r="E32" s="761"/>
      <c r="F32" s="500"/>
      <c r="G32" s="193"/>
      <c r="H32" s="555">
        <f>IF(Consolidado_A!$G$133&gt;=7.6%,-(0.0165+0.076)*F32,0)</f>
        <v>0</v>
      </c>
      <c r="I32" s="193"/>
      <c r="J32" s="561">
        <f t="shared" si="0"/>
        <v>0</v>
      </c>
      <c r="K32" s="193"/>
      <c r="L32" s="561">
        <f t="shared" si="1"/>
        <v>0</v>
      </c>
      <c r="M32" s="193"/>
      <c r="N32" s="561">
        <f t="shared" si="2"/>
        <v>0</v>
      </c>
    </row>
    <row r="33" spans="2:14">
      <c r="B33" s="745">
        <v>21</v>
      </c>
      <c r="C33" s="759"/>
      <c r="D33" s="760"/>
      <c r="E33" s="761"/>
      <c r="F33" s="762"/>
      <c r="G33" s="193"/>
      <c r="H33" s="555">
        <f>IF(Consolidado_A!$G$133&gt;=7.6%,-(0.0165+0.076)*F33,0)</f>
        <v>0</v>
      </c>
      <c r="I33" s="193"/>
      <c r="J33" s="561">
        <f t="shared" si="0"/>
        <v>0</v>
      </c>
      <c r="K33" s="193"/>
      <c r="L33" s="561">
        <f t="shared" si="1"/>
        <v>0</v>
      </c>
      <c r="M33" s="193"/>
      <c r="N33" s="561">
        <f t="shared" si="2"/>
        <v>0</v>
      </c>
    </row>
    <row r="34" spans="2:14">
      <c r="B34" s="745">
        <v>22</v>
      </c>
      <c r="C34" s="759"/>
      <c r="D34" s="760"/>
      <c r="E34" s="761"/>
      <c r="F34" s="762"/>
      <c r="G34" s="193"/>
      <c r="H34" s="555">
        <f>IF(Consolidado_A!$G$133&gt;=7.6%,-(0.0165+0.076)*F34,0)</f>
        <v>0</v>
      </c>
      <c r="I34" s="193"/>
      <c r="J34" s="561">
        <f t="shared" si="0"/>
        <v>0</v>
      </c>
      <c r="K34" s="193"/>
      <c r="L34" s="561">
        <f t="shared" si="1"/>
        <v>0</v>
      </c>
      <c r="M34" s="193"/>
      <c r="N34" s="561">
        <f t="shared" si="2"/>
        <v>0</v>
      </c>
    </row>
    <row r="35" spans="2:14">
      <c r="B35" s="745">
        <v>23</v>
      </c>
      <c r="C35" s="759"/>
      <c r="D35" s="760"/>
      <c r="E35" s="761"/>
      <c r="F35" s="762"/>
      <c r="G35" s="193"/>
      <c r="H35" s="555">
        <f>IF(Consolidado_A!$G$133&gt;=7.6%,-(0.0165+0.076)*F35,0)</f>
        <v>0</v>
      </c>
      <c r="I35" s="193"/>
      <c r="J35" s="561">
        <f t="shared" si="0"/>
        <v>0</v>
      </c>
      <c r="K35" s="193"/>
      <c r="L35" s="561">
        <f t="shared" si="1"/>
        <v>0</v>
      </c>
      <c r="M35" s="193"/>
      <c r="N35" s="561">
        <f t="shared" si="2"/>
        <v>0</v>
      </c>
    </row>
    <row r="36" spans="2:14">
      <c r="B36" s="745">
        <v>24</v>
      </c>
      <c r="C36" s="759"/>
      <c r="D36" s="760"/>
      <c r="E36" s="761"/>
      <c r="F36" s="762"/>
      <c r="G36" s="193"/>
      <c r="H36" s="555">
        <f>IF(Consolidado_A!$G$133&gt;=7.6%,-(0.0165+0.076)*F36,0)</f>
        <v>0</v>
      </c>
      <c r="I36" s="193"/>
      <c r="J36" s="561">
        <f t="shared" si="0"/>
        <v>0</v>
      </c>
      <c r="K36" s="193"/>
      <c r="L36" s="561">
        <f t="shared" si="1"/>
        <v>0</v>
      </c>
      <c r="M36" s="193"/>
      <c r="N36" s="561">
        <f t="shared" si="2"/>
        <v>0</v>
      </c>
    </row>
    <row r="37" spans="2:14">
      <c r="B37" s="745">
        <v>25</v>
      </c>
      <c r="C37" s="759"/>
      <c r="D37" s="760"/>
      <c r="E37" s="761"/>
      <c r="F37" s="762"/>
      <c r="G37" s="193"/>
      <c r="H37" s="555">
        <f>IF(Consolidado_A!$G$133&gt;=7.6%,-(0.0165+0.076)*F37,0)</f>
        <v>0</v>
      </c>
      <c r="I37" s="193"/>
      <c r="J37" s="561">
        <f t="shared" si="0"/>
        <v>0</v>
      </c>
      <c r="K37" s="193"/>
      <c r="L37" s="561">
        <f t="shared" si="1"/>
        <v>0</v>
      </c>
      <c r="M37" s="193"/>
      <c r="N37" s="561">
        <f t="shared" si="2"/>
        <v>0</v>
      </c>
    </row>
    <row r="38" spans="2:14" hidden="1">
      <c r="B38" s="745">
        <v>26</v>
      </c>
      <c r="C38" s="759"/>
      <c r="D38" s="760"/>
      <c r="E38" s="761"/>
      <c r="F38" s="762"/>
      <c r="G38" s="193"/>
      <c r="H38" s="555">
        <f>IF(Consolidado_A!$G$133&gt;=7.6%,-(0.0165+0.076)*F38,0)</f>
        <v>0</v>
      </c>
      <c r="I38" s="193"/>
      <c r="J38" s="561">
        <f t="shared" si="0"/>
        <v>0</v>
      </c>
      <c r="K38" s="193"/>
      <c r="L38" s="561">
        <f t="shared" si="1"/>
        <v>0</v>
      </c>
      <c r="M38" s="193"/>
      <c r="N38" s="561">
        <f t="shared" si="2"/>
        <v>0</v>
      </c>
    </row>
    <row r="39" spans="2:14" hidden="1">
      <c r="B39" s="745">
        <v>27</v>
      </c>
      <c r="C39" s="759"/>
      <c r="D39" s="760"/>
      <c r="E39" s="761"/>
      <c r="F39" s="762"/>
      <c r="G39" s="193"/>
      <c r="H39" s="555">
        <f>IF(Consolidado_A!$G$133&gt;=7.6%,-(0.0165+0.076)*F39,0)</f>
        <v>0</v>
      </c>
      <c r="I39" s="193"/>
      <c r="J39" s="561">
        <f t="shared" si="0"/>
        <v>0</v>
      </c>
      <c r="K39" s="193"/>
      <c r="L39" s="561">
        <f t="shared" si="1"/>
        <v>0</v>
      </c>
      <c r="M39" s="193"/>
      <c r="N39" s="561">
        <f t="shared" si="2"/>
        <v>0</v>
      </c>
    </row>
    <row r="40" spans="2:14" hidden="1">
      <c r="B40" s="745">
        <v>28</v>
      </c>
      <c r="C40" s="759"/>
      <c r="D40" s="760"/>
      <c r="E40" s="761"/>
      <c r="F40" s="762"/>
      <c r="G40" s="193"/>
      <c r="H40" s="555">
        <f>IF(Consolidado_A!$G$133&gt;=7.6%,-(0.0165+0.076)*F40,0)</f>
        <v>0</v>
      </c>
      <c r="I40" s="193"/>
      <c r="J40" s="561">
        <f t="shared" si="0"/>
        <v>0</v>
      </c>
      <c r="K40" s="193"/>
      <c r="L40" s="561">
        <f t="shared" si="1"/>
        <v>0</v>
      </c>
      <c r="M40" s="193"/>
      <c r="N40" s="561">
        <f t="shared" si="2"/>
        <v>0</v>
      </c>
    </row>
    <row r="41" spans="2:14" hidden="1">
      <c r="B41" s="745">
        <v>29</v>
      </c>
      <c r="C41" s="759"/>
      <c r="D41" s="760"/>
      <c r="E41" s="761"/>
      <c r="F41" s="762"/>
      <c r="G41" s="193"/>
      <c r="H41" s="555">
        <f>IF(Consolidado_A!$G$133&gt;=7.6%,-(0.0165+0.076)*F41,0)</f>
        <v>0</v>
      </c>
      <c r="I41" s="193"/>
      <c r="J41" s="561">
        <f t="shared" si="0"/>
        <v>0</v>
      </c>
      <c r="K41" s="193"/>
      <c r="L41" s="561">
        <f t="shared" si="1"/>
        <v>0</v>
      </c>
      <c r="M41" s="193"/>
      <c r="N41" s="561">
        <f t="shared" si="2"/>
        <v>0</v>
      </c>
    </row>
    <row r="42" spans="2:14" hidden="1">
      <c r="B42" s="745">
        <v>30</v>
      </c>
      <c r="C42" s="759"/>
      <c r="D42" s="760"/>
      <c r="E42" s="761"/>
      <c r="F42" s="762"/>
      <c r="G42" s="193"/>
      <c r="H42" s="555">
        <f>IF(Consolidado_A!$G$133&gt;=7.6%,-(0.0165+0.076)*F42,0)</f>
        <v>0</v>
      </c>
      <c r="I42" s="193"/>
      <c r="J42" s="561">
        <f t="shared" si="0"/>
        <v>0</v>
      </c>
      <c r="K42" s="193"/>
      <c r="L42" s="561">
        <f t="shared" si="1"/>
        <v>0</v>
      </c>
      <c r="M42" s="193"/>
      <c r="N42" s="561">
        <f t="shared" si="2"/>
        <v>0</v>
      </c>
    </row>
    <row r="43" spans="2:14" hidden="1">
      <c r="B43" s="745">
        <v>31</v>
      </c>
      <c r="C43" s="759"/>
      <c r="D43" s="760"/>
      <c r="E43" s="761"/>
      <c r="F43" s="762"/>
      <c r="G43" s="193"/>
      <c r="H43" s="555">
        <f>IF(Consolidado_A!$G$133&gt;=7.6%,-(0.0165+0.076)*F43,0)</f>
        <v>0</v>
      </c>
      <c r="I43" s="193"/>
      <c r="J43" s="561">
        <f t="shared" si="0"/>
        <v>0</v>
      </c>
      <c r="K43" s="193"/>
      <c r="L43" s="561">
        <f t="shared" si="1"/>
        <v>0</v>
      </c>
      <c r="M43" s="193"/>
      <c r="N43" s="561">
        <f t="shared" si="2"/>
        <v>0</v>
      </c>
    </row>
    <row r="44" spans="2:14" hidden="1">
      <c r="B44" s="745">
        <v>32</v>
      </c>
      <c r="C44" s="759"/>
      <c r="D44" s="760"/>
      <c r="E44" s="761"/>
      <c r="F44" s="762"/>
      <c r="G44" s="193"/>
      <c r="H44" s="555">
        <f>IF(Consolidado_A!$G$133&gt;=7.6%,-(0.0165+0.076)*F44,0)</f>
        <v>0</v>
      </c>
      <c r="I44" s="193"/>
      <c r="J44" s="561">
        <f t="shared" si="0"/>
        <v>0</v>
      </c>
      <c r="K44" s="193"/>
      <c r="L44" s="561">
        <f t="shared" si="1"/>
        <v>0</v>
      </c>
      <c r="M44" s="193"/>
      <c r="N44" s="561">
        <f t="shared" si="2"/>
        <v>0</v>
      </c>
    </row>
    <row r="45" spans="2:14" hidden="1">
      <c r="B45" s="745">
        <v>33</v>
      </c>
      <c r="C45" s="759"/>
      <c r="D45" s="760"/>
      <c r="E45" s="761"/>
      <c r="F45" s="762"/>
      <c r="G45" s="193"/>
      <c r="H45" s="555">
        <f>IF(Consolidado_A!$G$133&gt;=7.6%,-(0.0165+0.076)*F45,0)</f>
        <v>0</v>
      </c>
      <c r="I45" s="193"/>
      <c r="J45" s="561">
        <f t="shared" si="0"/>
        <v>0</v>
      </c>
      <c r="K45" s="193"/>
      <c r="L45" s="561">
        <f t="shared" si="1"/>
        <v>0</v>
      </c>
      <c r="M45" s="193"/>
      <c r="N45" s="561">
        <f t="shared" si="2"/>
        <v>0</v>
      </c>
    </row>
    <row r="46" spans="2:14" hidden="1">
      <c r="B46" s="745">
        <v>34</v>
      </c>
      <c r="C46" s="759"/>
      <c r="D46" s="760"/>
      <c r="E46" s="761"/>
      <c r="F46" s="762"/>
      <c r="G46" s="193"/>
      <c r="H46" s="555">
        <f>IF(Consolidado_A!$G$133&gt;=7.6%,-(0.0165+0.076)*F46,0)</f>
        <v>0</v>
      </c>
      <c r="I46" s="193"/>
      <c r="J46" s="561">
        <f t="shared" si="0"/>
        <v>0</v>
      </c>
      <c r="K46" s="193"/>
      <c r="L46" s="561">
        <f t="shared" si="1"/>
        <v>0</v>
      </c>
      <c r="M46" s="193"/>
      <c r="N46" s="561">
        <f t="shared" si="2"/>
        <v>0</v>
      </c>
    </row>
    <row r="47" spans="2:14" hidden="1">
      <c r="B47" s="745">
        <v>35</v>
      </c>
      <c r="C47" s="759"/>
      <c r="D47" s="760"/>
      <c r="E47" s="761"/>
      <c r="F47" s="762"/>
      <c r="G47" s="193"/>
      <c r="H47" s="555">
        <f>IF(Consolidado_A!$G$133&gt;=7.6%,-(0.0165+0.076)*F47,0)</f>
        <v>0</v>
      </c>
      <c r="I47" s="193"/>
      <c r="J47" s="561">
        <f t="shared" si="0"/>
        <v>0</v>
      </c>
      <c r="K47" s="193"/>
      <c r="L47" s="561">
        <f t="shared" si="1"/>
        <v>0</v>
      </c>
      <c r="M47" s="193"/>
      <c r="N47" s="561">
        <f t="shared" si="2"/>
        <v>0</v>
      </c>
    </row>
    <row r="48" spans="2:14" hidden="1">
      <c r="B48" s="745">
        <v>36</v>
      </c>
      <c r="C48" s="759"/>
      <c r="D48" s="760"/>
      <c r="E48" s="761"/>
      <c r="F48" s="762"/>
      <c r="G48" s="193"/>
      <c r="H48" s="555">
        <f>IF(Consolidado_A!$G$133&gt;=7.6%,-(0.0165+0.076)*F48,0)</f>
        <v>0</v>
      </c>
      <c r="I48" s="193"/>
      <c r="J48" s="561">
        <f t="shared" si="0"/>
        <v>0</v>
      </c>
      <c r="K48" s="193"/>
      <c r="L48" s="561">
        <f t="shared" si="1"/>
        <v>0</v>
      </c>
      <c r="M48" s="193"/>
      <c r="N48" s="561">
        <f t="shared" si="2"/>
        <v>0</v>
      </c>
    </row>
    <row r="49" spans="2:14" hidden="1">
      <c r="B49" s="745">
        <v>37</v>
      </c>
      <c r="C49" s="759"/>
      <c r="D49" s="760"/>
      <c r="E49" s="761"/>
      <c r="F49" s="762"/>
      <c r="G49" s="193"/>
      <c r="H49" s="555">
        <f>IF(Consolidado_A!$G$133&gt;=7.6%,-(0.0165+0.076)*F49,0)</f>
        <v>0</v>
      </c>
      <c r="I49" s="193"/>
      <c r="J49" s="561">
        <f t="shared" si="0"/>
        <v>0</v>
      </c>
      <c r="K49" s="193"/>
      <c r="L49" s="561">
        <f t="shared" si="1"/>
        <v>0</v>
      </c>
      <c r="M49" s="193"/>
      <c r="N49" s="561">
        <f t="shared" si="2"/>
        <v>0</v>
      </c>
    </row>
    <row r="50" spans="2:14" hidden="1">
      <c r="B50" s="745">
        <v>38</v>
      </c>
      <c r="C50" s="759"/>
      <c r="D50" s="760"/>
      <c r="E50" s="761"/>
      <c r="F50" s="762"/>
      <c r="G50" s="193"/>
      <c r="H50" s="555">
        <f>IF(Consolidado_A!$G$133&gt;=7.6%,-(0.0165+0.076)*F50,0)</f>
        <v>0</v>
      </c>
      <c r="I50" s="193"/>
      <c r="J50" s="561">
        <f t="shared" si="0"/>
        <v>0</v>
      </c>
      <c r="K50" s="193"/>
      <c r="L50" s="561">
        <f t="shared" si="1"/>
        <v>0</v>
      </c>
      <c r="M50" s="193"/>
      <c r="N50" s="561">
        <f t="shared" si="2"/>
        <v>0</v>
      </c>
    </row>
    <row r="51" spans="2:14" hidden="1">
      <c r="B51" s="745">
        <v>39</v>
      </c>
      <c r="C51" s="759"/>
      <c r="D51" s="760"/>
      <c r="E51" s="761"/>
      <c r="F51" s="762"/>
      <c r="G51" s="193"/>
      <c r="H51" s="555">
        <f>IF(Consolidado_A!$G$133&gt;=7.6%,-(0.0165+0.076)*F51,0)</f>
        <v>0</v>
      </c>
      <c r="I51" s="193"/>
      <c r="J51" s="561">
        <f t="shared" si="0"/>
        <v>0</v>
      </c>
      <c r="K51" s="193"/>
      <c r="L51" s="561">
        <f t="shared" si="1"/>
        <v>0</v>
      </c>
      <c r="M51" s="193"/>
      <c r="N51" s="561">
        <f t="shared" si="2"/>
        <v>0</v>
      </c>
    </row>
    <row r="52" spans="2:14" hidden="1">
      <c r="B52" s="745">
        <v>40</v>
      </c>
      <c r="C52" s="759"/>
      <c r="D52" s="760"/>
      <c r="E52" s="761"/>
      <c r="F52" s="762"/>
      <c r="G52" s="193"/>
      <c r="H52" s="555">
        <f>IF(Consolidado_A!$G$133&gt;=7.6%,-(0.0165+0.076)*F52,0)</f>
        <v>0</v>
      </c>
      <c r="I52" s="193"/>
      <c r="J52" s="561">
        <f t="shared" si="0"/>
        <v>0</v>
      </c>
      <c r="K52" s="193"/>
      <c r="L52" s="561">
        <f t="shared" si="1"/>
        <v>0</v>
      </c>
      <c r="M52" s="193"/>
      <c r="N52" s="561">
        <f t="shared" si="2"/>
        <v>0</v>
      </c>
    </row>
    <row r="53" spans="2:14" hidden="1">
      <c r="B53" s="745">
        <v>41</v>
      </c>
      <c r="C53" s="759"/>
      <c r="D53" s="760"/>
      <c r="E53" s="761"/>
      <c r="F53" s="762"/>
      <c r="G53" s="193"/>
      <c r="H53" s="555">
        <f>IF(Consolidado_A!$G$133&gt;=7.6%,-(0.0165+0.076)*F53,0)</f>
        <v>0</v>
      </c>
      <c r="I53" s="193"/>
      <c r="J53" s="561">
        <f t="shared" si="0"/>
        <v>0</v>
      </c>
      <c r="K53" s="193"/>
      <c r="L53" s="561">
        <f t="shared" si="1"/>
        <v>0</v>
      </c>
      <c r="M53" s="193"/>
      <c r="N53" s="561">
        <f t="shared" si="2"/>
        <v>0</v>
      </c>
    </row>
    <row r="54" spans="2:14" hidden="1">
      <c r="B54" s="745">
        <v>42</v>
      </c>
      <c r="C54" s="759"/>
      <c r="D54" s="760"/>
      <c r="E54" s="761"/>
      <c r="F54" s="762"/>
      <c r="G54" s="193"/>
      <c r="H54" s="555">
        <f>IF(Consolidado_A!$G$133&gt;=7.6%,-(0.0165+0.076)*F54,0)</f>
        <v>0</v>
      </c>
      <c r="I54" s="193"/>
      <c r="J54" s="561">
        <f t="shared" si="0"/>
        <v>0</v>
      </c>
      <c r="K54" s="193"/>
      <c r="L54" s="561">
        <f t="shared" si="1"/>
        <v>0</v>
      </c>
      <c r="M54" s="193"/>
      <c r="N54" s="561">
        <f t="shared" si="2"/>
        <v>0</v>
      </c>
    </row>
    <row r="55" spans="2:14" hidden="1">
      <c r="B55" s="745">
        <v>43</v>
      </c>
      <c r="C55" s="759"/>
      <c r="D55" s="760"/>
      <c r="E55" s="761"/>
      <c r="F55" s="762"/>
      <c r="G55" s="193"/>
      <c r="H55" s="555">
        <f>IF(Consolidado_A!$G$133&gt;=7.6%,-(0.0165+0.076)*F55,0)</f>
        <v>0</v>
      </c>
      <c r="I55" s="193"/>
      <c r="J55" s="561">
        <f t="shared" si="0"/>
        <v>0</v>
      </c>
      <c r="K55" s="193"/>
      <c r="L55" s="561">
        <f t="shared" si="1"/>
        <v>0</v>
      </c>
      <c r="M55" s="193"/>
      <c r="N55" s="561">
        <f t="shared" si="2"/>
        <v>0</v>
      </c>
    </row>
    <row r="56" spans="2:14" hidden="1">
      <c r="B56" s="745">
        <v>44</v>
      </c>
      <c r="C56" s="759"/>
      <c r="D56" s="760"/>
      <c r="E56" s="761"/>
      <c r="F56" s="762"/>
      <c r="G56" s="193"/>
      <c r="H56" s="555">
        <f>IF(Consolidado_A!$G$133&gt;=7.6%,-(0.0165+0.076)*F56,0)</f>
        <v>0</v>
      </c>
      <c r="I56" s="193"/>
      <c r="J56" s="561">
        <f t="shared" si="0"/>
        <v>0</v>
      </c>
      <c r="K56" s="193"/>
      <c r="L56" s="561">
        <f t="shared" si="1"/>
        <v>0</v>
      </c>
      <c r="M56" s="193"/>
      <c r="N56" s="561">
        <f t="shared" si="2"/>
        <v>0</v>
      </c>
    </row>
    <row r="57" spans="2:14" hidden="1">
      <c r="B57" s="745">
        <v>45</v>
      </c>
      <c r="C57" s="759"/>
      <c r="D57" s="760"/>
      <c r="E57" s="761"/>
      <c r="F57" s="762"/>
      <c r="G57" s="193"/>
      <c r="H57" s="555">
        <f>IF(Consolidado_A!$G$133&gt;=7.6%,-(0.0165+0.076)*F57,0)</f>
        <v>0</v>
      </c>
      <c r="I57" s="193"/>
      <c r="J57" s="561">
        <f t="shared" si="0"/>
        <v>0</v>
      </c>
      <c r="K57" s="193"/>
      <c r="L57" s="561">
        <f t="shared" si="1"/>
        <v>0</v>
      </c>
      <c r="M57" s="193"/>
      <c r="N57" s="561">
        <f t="shared" si="2"/>
        <v>0</v>
      </c>
    </row>
    <row r="58" spans="2:14" hidden="1">
      <c r="B58" s="745">
        <v>46</v>
      </c>
      <c r="C58" s="759"/>
      <c r="D58" s="760"/>
      <c r="E58" s="761"/>
      <c r="F58" s="762"/>
      <c r="G58" s="193"/>
      <c r="H58" s="555">
        <f>IF(Consolidado_A!$G$133&gt;=7.6%,-(0.0165+0.076)*F58,0)</f>
        <v>0</v>
      </c>
      <c r="I58" s="193"/>
      <c r="J58" s="561">
        <f t="shared" si="0"/>
        <v>0</v>
      </c>
      <c r="K58" s="193"/>
      <c r="L58" s="561">
        <f t="shared" si="1"/>
        <v>0</v>
      </c>
      <c r="M58" s="193"/>
      <c r="N58" s="561">
        <f t="shared" si="2"/>
        <v>0</v>
      </c>
    </row>
    <row r="59" spans="2:14" hidden="1">
      <c r="B59" s="745">
        <v>47</v>
      </c>
      <c r="C59" s="759"/>
      <c r="D59" s="760"/>
      <c r="E59" s="761"/>
      <c r="F59" s="762"/>
      <c r="G59" s="193"/>
      <c r="H59" s="555">
        <f>IF(Consolidado_A!$G$133&gt;=7.6%,-(0.0165+0.076)*F59,0)</f>
        <v>0</v>
      </c>
      <c r="I59" s="193"/>
      <c r="J59" s="561">
        <f t="shared" si="0"/>
        <v>0</v>
      </c>
      <c r="K59" s="193"/>
      <c r="L59" s="561">
        <f t="shared" si="1"/>
        <v>0</v>
      </c>
      <c r="M59" s="193"/>
      <c r="N59" s="561">
        <f t="shared" si="2"/>
        <v>0</v>
      </c>
    </row>
    <row r="60" spans="2:14" hidden="1">
      <c r="B60" s="745">
        <v>48</v>
      </c>
      <c r="C60" s="759"/>
      <c r="D60" s="760"/>
      <c r="E60" s="761"/>
      <c r="F60" s="762"/>
      <c r="G60" s="193"/>
      <c r="H60" s="555">
        <f>IF(Consolidado_A!$G$133&gt;=7.6%,-(0.0165+0.076)*F60,0)</f>
        <v>0</v>
      </c>
      <c r="I60" s="193"/>
      <c r="J60" s="561">
        <f t="shared" si="0"/>
        <v>0</v>
      </c>
      <c r="K60" s="193"/>
      <c r="L60" s="561">
        <f t="shared" si="1"/>
        <v>0</v>
      </c>
      <c r="M60" s="193"/>
      <c r="N60" s="561">
        <f t="shared" si="2"/>
        <v>0</v>
      </c>
    </row>
    <row r="61" spans="2:14" hidden="1">
      <c r="B61" s="745">
        <v>49</v>
      </c>
      <c r="C61" s="759"/>
      <c r="D61" s="760"/>
      <c r="E61" s="761"/>
      <c r="F61" s="762"/>
      <c r="G61" s="193"/>
      <c r="H61" s="555">
        <f>IF(Consolidado_A!$G$133&gt;=7.6%,-(0.0165+0.076)*F61,0)</f>
        <v>0</v>
      </c>
      <c r="I61" s="193"/>
      <c r="J61" s="561">
        <f t="shared" si="0"/>
        <v>0</v>
      </c>
      <c r="K61" s="193"/>
      <c r="L61" s="561">
        <f t="shared" si="1"/>
        <v>0</v>
      </c>
      <c r="M61" s="193"/>
      <c r="N61" s="561">
        <f t="shared" si="2"/>
        <v>0</v>
      </c>
    </row>
    <row r="62" spans="2:14" hidden="1">
      <c r="B62" s="745">
        <v>50</v>
      </c>
      <c r="C62" s="759"/>
      <c r="D62" s="760"/>
      <c r="E62" s="761"/>
      <c r="F62" s="762"/>
      <c r="G62" s="193"/>
      <c r="H62" s="555">
        <f>IF(Consolidado_A!$G$133&gt;=7.6%,-(0.0165+0.076)*F62,0)</f>
        <v>0</v>
      </c>
      <c r="I62" s="193"/>
      <c r="J62" s="561">
        <f t="shared" si="0"/>
        <v>0</v>
      </c>
      <c r="K62" s="193"/>
      <c r="L62" s="561">
        <f t="shared" si="1"/>
        <v>0</v>
      </c>
      <c r="M62" s="193"/>
      <c r="N62" s="561">
        <f t="shared" si="2"/>
        <v>0</v>
      </c>
    </row>
    <row r="63" spans="2:14" hidden="1">
      <c r="B63" s="745">
        <v>51</v>
      </c>
      <c r="C63" s="759"/>
      <c r="D63" s="760"/>
      <c r="E63" s="761"/>
      <c r="F63" s="762"/>
      <c r="G63" s="193"/>
      <c r="H63" s="555">
        <f>IF(Consolidado_A!$G$133&gt;=7.6%,-(0.0165+0.076)*F63,0)</f>
        <v>0</v>
      </c>
      <c r="I63" s="193"/>
      <c r="J63" s="561">
        <f t="shared" si="0"/>
        <v>0</v>
      </c>
      <c r="K63" s="193"/>
      <c r="L63" s="561">
        <f t="shared" si="1"/>
        <v>0</v>
      </c>
      <c r="M63" s="193"/>
      <c r="N63" s="561">
        <f t="shared" si="2"/>
        <v>0</v>
      </c>
    </row>
    <row r="64" spans="2:14" hidden="1">
      <c r="B64" s="745">
        <v>52</v>
      </c>
      <c r="C64" s="759"/>
      <c r="D64" s="760"/>
      <c r="E64" s="761"/>
      <c r="F64" s="762"/>
      <c r="G64" s="193"/>
      <c r="H64" s="555">
        <f>IF(Consolidado_A!$G$133&gt;=7.6%,-(0.0165+0.076)*F64,0)</f>
        <v>0</v>
      </c>
      <c r="I64" s="193"/>
      <c r="J64" s="561">
        <f t="shared" si="0"/>
        <v>0</v>
      </c>
      <c r="K64" s="193"/>
      <c r="L64" s="561">
        <f t="shared" si="1"/>
        <v>0</v>
      </c>
      <c r="M64" s="193"/>
      <c r="N64" s="561">
        <f t="shared" si="2"/>
        <v>0</v>
      </c>
    </row>
    <row r="65" spans="2:14" hidden="1">
      <c r="B65" s="745">
        <v>53</v>
      </c>
      <c r="C65" s="759"/>
      <c r="D65" s="760"/>
      <c r="E65" s="761"/>
      <c r="F65" s="762"/>
      <c r="G65" s="193"/>
      <c r="H65" s="555">
        <f>IF(Consolidado_A!$G$133&gt;=7.6%,-(0.0165+0.076)*F65,0)</f>
        <v>0</v>
      </c>
      <c r="I65" s="193"/>
      <c r="J65" s="561">
        <f t="shared" si="0"/>
        <v>0</v>
      </c>
      <c r="K65" s="193"/>
      <c r="L65" s="561">
        <f t="shared" si="1"/>
        <v>0</v>
      </c>
      <c r="M65" s="193"/>
      <c r="N65" s="561">
        <f t="shared" si="2"/>
        <v>0</v>
      </c>
    </row>
    <row r="66" spans="2:14" hidden="1">
      <c r="B66" s="745">
        <v>54</v>
      </c>
      <c r="C66" s="759"/>
      <c r="D66" s="760"/>
      <c r="E66" s="761"/>
      <c r="F66" s="762"/>
      <c r="G66" s="193"/>
      <c r="H66" s="555">
        <f>IF(Consolidado_A!$G$133&gt;=7.6%,-(0.0165+0.076)*F66,0)</f>
        <v>0</v>
      </c>
      <c r="I66" s="193"/>
      <c r="J66" s="561">
        <f t="shared" si="0"/>
        <v>0</v>
      </c>
      <c r="K66" s="193"/>
      <c r="L66" s="561">
        <f t="shared" si="1"/>
        <v>0</v>
      </c>
      <c r="M66" s="193"/>
      <c r="N66" s="561">
        <f t="shared" si="2"/>
        <v>0</v>
      </c>
    </row>
    <row r="67" spans="2:14" hidden="1">
      <c r="B67" s="745">
        <v>55</v>
      </c>
      <c r="C67" s="759"/>
      <c r="D67" s="760"/>
      <c r="E67" s="761"/>
      <c r="F67" s="762"/>
      <c r="G67" s="193"/>
      <c r="H67" s="555">
        <f>IF(Consolidado_A!$G$133&gt;=7.6%,-(0.0165+0.076)*F67,0)</f>
        <v>0</v>
      </c>
      <c r="I67" s="193"/>
      <c r="J67" s="561">
        <f t="shared" si="0"/>
        <v>0</v>
      </c>
      <c r="K67" s="193"/>
      <c r="L67" s="561">
        <f t="shared" si="1"/>
        <v>0</v>
      </c>
      <c r="M67" s="193"/>
      <c r="N67" s="561">
        <f t="shared" si="2"/>
        <v>0</v>
      </c>
    </row>
    <row r="68" spans="2:14" hidden="1">
      <c r="B68" s="745">
        <v>56</v>
      </c>
      <c r="C68" s="759"/>
      <c r="D68" s="760"/>
      <c r="E68" s="761"/>
      <c r="F68" s="762"/>
      <c r="G68" s="193"/>
      <c r="H68" s="555">
        <f>IF(Consolidado_A!$G$133&gt;=7.6%,-(0.0165+0.076)*F68,0)</f>
        <v>0</v>
      </c>
      <c r="I68" s="193"/>
      <c r="J68" s="561">
        <f t="shared" si="0"/>
        <v>0</v>
      </c>
      <c r="K68" s="193"/>
      <c r="L68" s="561">
        <f t="shared" si="1"/>
        <v>0</v>
      </c>
      <c r="M68" s="193"/>
      <c r="N68" s="561">
        <f t="shared" si="2"/>
        <v>0</v>
      </c>
    </row>
    <row r="69" spans="2:14" hidden="1">
      <c r="B69" s="745">
        <v>57</v>
      </c>
      <c r="C69" s="759"/>
      <c r="D69" s="760"/>
      <c r="E69" s="761"/>
      <c r="F69" s="762"/>
      <c r="G69" s="193"/>
      <c r="H69" s="555">
        <f>IF(Consolidado_A!$G$133&gt;=7.6%,-(0.0165+0.076)*F69,0)</f>
        <v>0</v>
      </c>
      <c r="I69" s="193"/>
      <c r="J69" s="561">
        <f t="shared" si="0"/>
        <v>0</v>
      </c>
      <c r="K69" s="193"/>
      <c r="L69" s="561">
        <f t="shared" si="1"/>
        <v>0</v>
      </c>
      <c r="M69" s="193"/>
      <c r="N69" s="561">
        <f t="shared" si="2"/>
        <v>0</v>
      </c>
    </row>
    <row r="70" spans="2:14" hidden="1">
      <c r="B70" s="745">
        <v>58</v>
      </c>
      <c r="C70" s="759"/>
      <c r="D70" s="760"/>
      <c r="E70" s="761"/>
      <c r="F70" s="762"/>
      <c r="G70" s="193"/>
      <c r="H70" s="555">
        <f>IF(Consolidado_A!$G$133&gt;=7.6%,-(0.0165+0.076)*F70,0)</f>
        <v>0</v>
      </c>
      <c r="I70" s="193"/>
      <c r="J70" s="561">
        <f t="shared" si="0"/>
        <v>0</v>
      </c>
      <c r="K70" s="193"/>
      <c r="L70" s="561">
        <f t="shared" si="1"/>
        <v>0</v>
      </c>
      <c r="M70" s="193"/>
      <c r="N70" s="561">
        <f t="shared" si="2"/>
        <v>0</v>
      </c>
    </row>
    <row r="71" spans="2:14" hidden="1">
      <c r="B71" s="745">
        <v>59</v>
      </c>
      <c r="C71" s="759"/>
      <c r="D71" s="760"/>
      <c r="E71" s="761"/>
      <c r="F71" s="762"/>
      <c r="G71" s="193"/>
      <c r="H71" s="555">
        <f>IF(Consolidado_A!$G$133&gt;=7.6%,-(0.0165+0.076)*F71,0)</f>
        <v>0</v>
      </c>
      <c r="I71" s="193"/>
      <c r="J71" s="561">
        <f t="shared" si="0"/>
        <v>0</v>
      </c>
      <c r="K71" s="193"/>
      <c r="L71" s="561">
        <f t="shared" si="1"/>
        <v>0</v>
      </c>
      <c r="M71" s="193"/>
      <c r="N71" s="561">
        <f t="shared" si="2"/>
        <v>0</v>
      </c>
    </row>
    <row r="72" spans="2:14" hidden="1">
      <c r="B72" s="745">
        <v>60</v>
      </c>
      <c r="C72" s="759"/>
      <c r="D72" s="760"/>
      <c r="E72" s="761"/>
      <c r="F72" s="762"/>
      <c r="G72" s="193"/>
      <c r="H72" s="555">
        <f>IF(Consolidado_A!$G$133&gt;=7.6%,-(0.0165+0.076)*F72,0)</f>
        <v>0</v>
      </c>
      <c r="I72" s="193"/>
      <c r="J72" s="561">
        <f t="shared" si="0"/>
        <v>0</v>
      </c>
      <c r="K72" s="193"/>
      <c r="L72" s="561">
        <f t="shared" si="1"/>
        <v>0</v>
      </c>
      <c r="M72" s="193"/>
      <c r="N72" s="561">
        <f t="shared" si="2"/>
        <v>0</v>
      </c>
    </row>
    <row r="73" spans="2:14" hidden="1">
      <c r="B73" s="745">
        <v>61</v>
      </c>
      <c r="C73" s="759"/>
      <c r="D73" s="760"/>
      <c r="E73" s="761"/>
      <c r="F73" s="762"/>
      <c r="G73" s="193"/>
      <c r="H73" s="555">
        <f>IF(Consolidado_A!$G$133&gt;=7.6%,-(0.0165+0.076)*F73,0)</f>
        <v>0</v>
      </c>
      <c r="I73" s="193"/>
      <c r="J73" s="561">
        <f t="shared" si="0"/>
        <v>0</v>
      </c>
      <c r="K73" s="193"/>
      <c r="L73" s="561">
        <f t="shared" si="1"/>
        <v>0</v>
      </c>
      <c r="M73" s="193"/>
      <c r="N73" s="561">
        <f t="shared" si="2"/>
        <v>0</v>
      </c>
    </row>
    <row r="74" spans="2:14" hidden="1">
      <c r="B74" s="745">
        <v>62</v>
      </c>
      <c r="C74" s="759"/>
      <c r="D74" s="760"/>
      <c r="E74" s="761"/>
      <c r="F74" s="762"/>
      <c r="G74" s="193"/>
      <c r="H74" s="555">
        <f>IF(Consolidado_A!$G$133&gt;=7.6%,-(0.0165+0.076)*F74,0)</f>
        <v>0</v>
      </c>
      <c r="I74" s="193"/>
      <c r="J74" s="561">
        <f t="shared" si="0"/>
        <v>0</v>
      </c>
      <c r="K74" s="193"/>
      <c r="L74" s="561">
        <f t="shared" si="1"/>
        <v>0</v>
      </c>
      <c r="M74" s="193"/>
      <c r="N74" s="561">
        <f t="shared" si="2"/>
        <v>0</v>
      </c>
    </row>
    <row r="75" spans="2:14" hidden="1">
      <c r="B75" s="745">
        <v>63</v>
      </c>
      <c r="C75" s="759"/>
      <c r="D75" s="760"/>
      <c r="E75" s="761"/>
      <c r="F75" s="762"/>
      <c r="G75" s="193"/>
      <c r="H75" s="555">
        <f>IF(Consolidado_A!$G$133&gt;=7.6%,-(0.0165+0.076)*F75,0)</f>
        <v>0</v>
      </c>
      <c r="I75" s="193"/>
      <c r="J75" s="561">
        <f t="shared" si="0"/>
        <v>0</v>
      </c>
      <c r="K75" s="193"/>
      <c r="L75" s="561">
        <f t="shared" si="1"/>
        <v>0</v>
      </c>
      <c r="M75" s="193"/>
      <c r="N75" s="561">
        <f t="shared" si="2"/>
        <v>0</v>
      </c>
    </row>
    <row r="76" spans="2:14" hidden="1">
      <c r="B76" s="745">
        <v>64</v>
      </c>
      <c r="C76" s="759"/>
      <c r="D76" s="760"/>
      <c r="E76" s="761"/>
      <c r="F76" s="762"/>
      <c r="G76" s="193"/>
      <c r="H76" s="555">
        <f>IF(Consolidado_A!$G$133&gt;=7.6%,-(0.0165+0.076)*F76,0)</f>
        <v>0</v>
      </c>
      <c r="I76" s="193"/>
      <c r="J76" s="561">
        <f t="shared" si="0"/>
        <v>0</v>
      </c>
      <c r="K76" s="193"/>
      <c r="L76" s="561">
        <f t="shared" si="1"/>
        <v>0</v>
      </c>
      <c r="M76" s="193"/>
      <c r="N76" s="561">
        <f t="shared" si="2"/>
        <v>0</v>
      </c>
    </row>
    <row r="77" spans="2:14" hidden="1">
      <c r="B77" s="745">
        <v>65</v>
      </c>
      <c r="C77" s="759"/>
      <c r="D77" s="760"/>
      <c r="E77" s="761"/>
      <c r="F77" s="762"/>
      <c r="G77" s="193"/>
      <c r="H77" s="555">
        <f>IF(Consolidado_A!$G$133&gt;=7.6%,-(0.0165+0.076)*F77,0)</f>
        <v>0</v>
      </c>
      <c r="I77" s="193"/>
      <c r="J77" s="561">
        <f t="shared" ref="J77:J140" si="3">F77+H77</f>
        <v>0</v>
      </c>
      <c r="K77" s="193"/>
      <c r="L77" s="561">
        <f t="shared" ref="L77:L140" si="4">J77*E77</f>
        <v>0</v>
      </c>
      <c r="M77" s="193"/>
      <c r="N77" s="561">
        <f t="shared" ref="N77:N140" si="5">L77*12</f>
        <v>0</v>
      </c>
    </row>
    <row r="78" spans="2:14" hidden="1">
      <c r="B78" s="745">
        <v>66</v>
      </c>
      <c r="C78" s="759"/>
      <c r="D78" s="760"/>
      <c r="E78" s="761"/>
      <c r="F78" s="762"/>
      <c r="G78" s="193"/>
      <c r="H78" s="555">
        <f>IF(Consolidado_A!$G$133&gt;=7.6%,-(0.0165+0.076)*F78,0)</f>
        <v>0</v>
      </c>
      <c r="I78" s="193"/>
      <c r="J78" s="561">
        <f t="shared" si="3"/>
        <v>0</v>
      </c>
      <c r="K78" s="193"/>
      <c r="L78" s="561">
        <f t="shared" si="4"/>
        <v>0</v>
      </c>
      <c r="M78" s="193"/>
      <c r="N78" s="561">
        <f t="shared" si="5"/>
        <v>0</v>
      </c>
    </row>
    <row r="79" spans="2:14" hidden="1">
      <c r="B79" s="745">
        <v>67</v>
      </c>
      <c r="C79" s="759"/>
      <c r="D79" s="760"/>
      <c r="E79" s="761"/>
      <c r="F79" s="762"/>
      <c r="G79" s="193"/>
      <c r="H79" s="555">
        <f>IF(Consolidado_A!$G$133&gt;=7.6%,-(0.0165+0.076)*F79,0)</f>
        <v>0</v>
      </c>
      <c r="I79" s="193"/>
      <c r="J79" s="561">
        <f t="shared" si="3"/>
        <v>0</v>
      </c>
      <c r="K79" s="193"/>
      <c r="L79" s="561">
        <f t="shared" si="4"/>
        <v>0</v>
      </c>
      <c r="M79" s="193"/>
      <c r="N79" s="561">
        <f t="shared" si="5"/>
        <v>0</v>
      </c>
    </row>
    <row r="80" spans="2:14" hidden="1">
      <c r="B80" s="745">
        <v>68</v>
      </c>
      <c r="C80" s="759"/>
      <c r="D80" s="760"/>
      <c r="E80" s="761"/>
      <c r="F80" s="762"/>
      <c r="G80" s="193"/>
      <c r="H80" s="555">
        <f>IF(Consolidado_A!$G$133&gt;=7.6%,-(0.0165+0.076)*F80,0)</f>
        <v>0</v>
      </c>
      <c r="I80" s="193"/>
      <c r="J80" s="561">
        <f t="shared" si="3"/>
        <v>0</v>
      </c>
      <c r="K80" s="193"/>
      <c r="L80" s="561">
        <f t="shared" si="4"/>
        <v>0</v>
      </c>
      <c r="M80" s="193"/>
      <c r="N80" s="561">
        <f t="shared" si="5"/>
        <v>0</v>
      </c>
    </row>
    <row r="81" spans="2:14" hidden="1">
      <c r="B81" s="745">
        <v>69</v>
      </c>
      <c r="C81" s="759"/>
      <c r="D81" s="760"/>
      <c r="E81" s="761"/>
      <c r="F81" s="762"/>
      <c r="G81" s="193"/>
      <c r="H81" s="555">
        <f>IF(Consolidado_A!$G$133&gt;=7.6%,-(0.0165+0.076)*F81,0)</f>
        <v>0</v>
      </c>
      <c r="I81" s="193"/>
      <c r="J81" s="561">
        <f t="shared" si="3"/>
        <v>0</v>
      </c>
      <c r="K81" s="193"/>
      <c r="L81" s="561">
        <f t="shared" si="4"/>
        <v>0</v>
      </c>
      <c r="M81" s="193"/>
      <c r="N81" s="561">
        <f t="shared" si="5"/>
        <v>0</v>
      </c>
    </row>
    <row r="82" spans="2:14" hidden="1">
      <c r="B82" s="745">
        <v>70</v>
      </c>
      <c r="C82" s="759"/>
      <c r="D82" s="760"/>
      <c r="E82" s="761"/>
      <c r="F82" s="762"/>
      <c r="G82" s="193"/>
      <c r="H82" s="555">
        <f>IF(Consolidado_A!$G$133&gt;=7.6%,-(0.0165+0.076)*F82,0)</f>
        <v>0</v>
      </c>
      <c r="I82" s="193"/>
      <c r="J82" s="561">
        <f t="shared" si="3"/>
        <v>0</v>
      </c>
      <c r="K82" s="193"/>
      <c r="L82" s="561">
        <f t="shared" si="4"/>
        <v>0</v>
      </c>
      <c r="M82" s="193"/>
      <c r="N82" s="561">
        <f t="shared" si="5"/>
        <v>0</v>
      </c>
    </row>
    <row r="83" spans="2:14" hidden="1">
      <c r="B83" s="745">
        <v>71</v>
      </c>
      <c r="C83" s="759"/>
      <c r="D83" s="760"/>
      <c r="E83" s="761"/>
      <c r="F83" s="762"/>
      <c r="G83" s="193"/>
      <c r="H83" s="555">
        <f>IF(Consolidado_A!$G$133&gt;=7.6%,-(0.0165+0.076)*F83,0)</f>
        <v>0</v>
      </c>
      <c r="I83" s="193"/>
      <c r="J83" s="561">
        <f t="shared" si="3"/>
        <v>0</v>
      </c>
      <c r="K83" s="193"/>
      <c r="L83" s="561">
        <f t="shared" si="4"/>
        <v>0</v>
      </c>
      <c r="M83" s="193"/>
      <c r="N83" s="561">
        <f t="shared" si="5"/>
        <v>0</v>
      </c>
    </row>
    <row r="84" spans="2:14" hidden="1">
      <c r="B84" s="745">
        <v>72</v>
      </c>
      <c r="C84" s="759"/>
      <c r="D84" s="760"/>
      <c r="E84" s="761"/>
      <c r="F84" s="762"/>
      <c r="G84" s="193"/>
      <c r="H84" s="555">
        <f>IF(Consolidado_A!$G$133&gt;=7.6%,-(0.0165+0.076)*F84,0)</f>
        <v>0</v>
      </c>
      <c r="I84" s="193"/>
      <c r="J84" s="561">
        <f t="shared" si="3"/>
        <v>0</v>
      </c>
      <c r="K84" s="193"/>
      <c r="L84" s="561">
        <f t="shared" si="4"/>
        <v>0</v>
      </c>
      <c r="M84" s="193"/>
      <c r="N84" s="561">
        <f t="shared" si="5"/>
        <v>0</v>
      </c>
    </row>
    <row r="85" spans="2:14" hidden="1">
      <c r="B85" s="745">
        <v>73</v>
      </c>
      <c r="C85" s="759"/>
      <c r="D85" s="760"/>
      <c r="E85" s="761"/>
      <c r="F85" s="762"/>
      <c r="G85" s="193"/>
      <c r="H85" s="555">
        <f>IF(Consolidado_A!$G$133&gt;=7.6%,-(0.0165+0.076)*F85,0)</f>
        <v>0</v>
      </c>
      <c r="I85" s="193"/>
      <c r="J85" s="561">
        <f t="shared" si="3"/>
        <v>0</v>
      </c>
      <c r="K85" s="193"/>
      <c r="L85" s="561">
        <f t="shared" si="4"/>
        <v>0</v>
      </c>
      <c r="M85" s="193"/>
      <c r="N85" s="561">
        <f t="shared" si="5"/>
        <v>0</v>
      </c>
    </row>
    <row r="86" spans="2:14" hidden="1">
      <c r="B86" s="745">
        <v>74</v>
      </c>
      <c r="C86" s="759"/>
      <c r="D86" s="760"/>
      <c r="E86" s="761"/>
      <c r="F86" s="762"/>
      <c r="G86" s="193"/>
      <c r="H86" s="555">
        <f>IF(Consolidado_A!$G$133&gt;=7.6%,-(0.0165+0.076)*F86,0)</f>
        <v>0</v>
      </c>
      <c r="I86" s="193"/>
      <c r="J86" s="561">
        <f t="shared" si="3"/>
        <v>0</v>
      </c>
      <c r="K86" s="193"/>
      <c r="L86" s="561">
        <f t="shared" si="4"/>
        <v>0</v>
      </c>
      <c r="M86" s="193"/>
      <c r="N86" s="561">
        <f t="shared" si="5"/>
        <v>0</v>
      </c>
    </row>
    <row r="87" spans="2:14" hidden="1">
      <c r="B87" s="745">
        <v>75</v>
      </c>
      <c r="C87" s="759"/>
      <c r="D87" s="760"/>
      <c r="E87" s="761"/>
      <c r="F87" s="762"/>
      <c r="G87" s="193"/>
      <c r="H87" s="555">
        <f>IF(Consolidado_A!$G$133&gt;=7.6%,-(0.0165+0.076)*F87,0)</f>
        <v>0</v>
      </c>
      <c r="I87" s="193"/>
      <c r="J87" s="561">
        <f t="shared" si="3"/>
        <v>0</v>
      </c>
      <c r="K87" s="193"/>
      <c r="L87" s="561">
        <f t="shared" si="4"/>
        <v>0</v>
      </c>
      <c r="M87" s="193"/>
      <c r="N87" s="561">
        <f t="shared" si="5"/>
        <v>0</v>
      </c>
    </row>
    <row r="88" spans="2:14" hidden="1">
      <c r="B88" s="745">
        <v>76</v>
      </c>
      <c r="C88" s="759"/>
      <c r="D88" s="760"/>
      <c r="E88" s="761"/>
      <c r="F88" s="762"/>
      <c r="G88" s="193"/>
      <c r="H88" s="555">
        <f>IF(Consolidado_A!$G$133&gt;=7.6%,-(0.0165+0.076)*F88,0)</f>
        <v>0</v>
      </c>
      <c r="I88" s="193"/>
      <c r="J88" s="561">
        <f t="shared" si="3"/>
        <v>0</v>
      </c>
      <c r="K88" s="193"/>
      <c r="L88" s="561">
        <f t="shared" si="4"/>
        <v>0</v>
      </c>
      <c r="M88" s="193"/>
      <c r="N88" s="561">
        <f t="shared" si="5"/>
        <v>0</v>
      </c>
    </row>
    <row r="89" spans="2:14" hidden="1">
      <c r="B89" s="745">
        <v>77</v>
      </c>
      <c r="C89" s="759"/>
      <c r="D89" s="760"/>
      <c r="E89" s="761"/>
      <c r="F89" s="762"/>
      <c r="G89" s="193"/>
      <c r="H89" s="555">
        <f>IF(Consolidado_A!$G$133&gt;=7.6%,-(0.0165+0.076)*F89,0)</f>
        <v>0</v>
      </c>
      <c r="I89" s="193"/>
      <c r="J89" s="561">
        <f t="shared" si="3"/>
        <v>0</v>
      </c>
      <c r="K89" s="193"/>
      <c r="L89" s="561">
        <f t="shared" si="4"/>
        <v>0</v>
      </c>
      <c r="M89" s="193"/>
      <c r="N89" s="561">
        <f t="shared" si="5"/>
        <v>0</v>
      </c>
    </row>
    <row r="90" spans="2:14" hidden="1">
      <c r="B90" s="745">
        <v>78</v>
      </c>
      <c r="C90" s="759"/>
      <c r="D90" s="760"/>
      <c r="E90" s="761"/>
      <c r="F90" s="762"/>
      <c r="G90" s="193"/>
      <c r="H90" s="555">
        <f>IF(Consolidado_A!$G$133&gt;=7.6%,-(0.0165+0.076)*F90,0)</f>
        <v>0</v>
      </c>
      <c r="I90" s="193"/>
      <c r="J90" s="561">
        <f t="shared" si="3"/>
        <v>0</v>
      </c>
      <c r="K90" s="193"/>
      <c r="L90" s="561">
        <f t="shared" si="4"/>
        <v>0</v>
      </c>
      <c r="M90" s="193"/>
      <c r="N90" s="561">
        <f t="shared" si="5"/>
        <v>0</v>
      </c>
    </row>
    <row r="91" spans="2:14" hidden="1">
      <c r="B91" s="745">
        <v>79</v>
      </c>
      <c r="C91" s="759"/>
      <c r="D91" s="760"/>
      <c r="E91" s="761"/>
      <c r="F91" s="762"/>
      <c r="G91" s="193"/>
      <c r="H91" s="555">
        <f>IF(Consolidado_A!$G$133&gt;=7.6%,-(0.0165+0.076)*F91,0)</f>
        <v>0</v>
      </c>
      <c r="I91" s="193"/>
      <c r="J91" s="561">
        <f t="shared" si="3"/>
        <v>0</v>
      </c>
      <c r="K91" s="193"/>
      <c r="L91" s="561">
        <f t="shared" si="4"/>
        <v>0</v>
      </c>
      <c r="M91" s="193"/>
      <c r="N91" s="561">
        <f t="shared" si="5"/>
        <v>0</v>
      </c>
    </row>
    <row r="92" spans="2:14" hidden="1">
      <c r="B92" s="745">
        <v>80</v>
      </c>
      <c r="C92" s="759"/>
      <c r="D92" s="760"/>
      <c r="E92" s="761"/>
      <c r="F92" s="762"/>
      <c r="G92" s="193"/>
      <c r="H92" s="555">
        <f>IF(Consolidado_A!$G$133&gt;=7.6%,-(0.0165+0.076)*F92,0)</f>
        <v>0</v>
      </c>
      <c r="I92" s="193"/>
      <c r="J92" s="561">
        <f t="shared" si="3"/>
        <v>0</v>
      </c>
      <c r="K92" s="193"/>
      <c r="L92" s="561">
        <f t="shared" si="4"/>
        <v>0</v>
      </c>
      <c r="M92" s="193"/>
      <c r="N92" s="561">
        <f t="shared" si="5"/>
        <v>0</v>
      </c>
    </row>
    <row r="93" spans="2:14" hidden="1">
      <c r="B93" s="745">
        <v>81</v>
      </c>
      <c r="C93" s="759"/>
      <c r="D93" s="760"/>
      <c r="E93" s="761"/>
      <c r="F93" s="762"/>
      <c r="G93" s="193"/>
      <c r="H93" s="555">
        <f>IF(Consolidado_A!$G$133&gt;=7.6%,-(0.0165+0.076)*F93,0)</f>
        <v>0</v>
      </c>
      <c r="I93" s="193"/>
      <c r="J93" s="561">
        <f t="shared" si="3"/>
        <v>0</v>
      </c>
      <c r="K93" s="193"/>
      <c r="L93" s="561">
        <f t="shared" si="4"/>
        <v>0</v>
      </c>
      <c r="M93" s="193"/>
      <c r="N93" s="561">
        <f t="shared" si="5"/>
        <v>0</v>
      </c>
    </row>
    <row r="94" spans="2:14" hidden="1">
      <c r="B94" s="745">
        <v>82</v>
      </c>
      <c r="C94" s="759"/>
      <c r="D94" s="760"/>
      <c r="E94" s="761"/>
      <c r="F94" s="762"/>
      <c r="G94" s="193"/>
      <c r="H94" s="555">
        <f>IF(Consolidado_A!$G$133&gt;=7.6%,-(0.0165+0.076)*F94,0)</f>
        <v>0</v>
      </c>
      <c r="I94" s="193"/>
      <c r="J94" s="561">
        <f t="shared" si="3"/>
        <v>0</v>
      </c>
      <c r="K94" s="193"/>
      <c r="L94" s="561">
        <f t="shared" si="4"/>
        <v>0</v>
      </c>
      <c r="M94" s="193"/>
      <c r="N94" s="561">
        <f t="shared" si="5"/>
        <v>0</v>
      </c>
    </row>
    <row r="95" spans="2:14" hidden="1">
      <c r="B95" s="745">
        <v>83</v>
      </c>
      <c r="C95" s="759"/>
      <c r="D95" s="760"/>
      <c r="E95" s="761"/>
      <c r="F95" s="762"/>
      <c r="G95" s="193"/>
      <c r="H95" s="555">
        <f>IF(Consolidado_A!$G$133&gt;=7.6%,-(0.0165+0.076)*F95,0)</f>
        <v>0</v>
      </c>
      <c r="I95" s="193"/>
      <c r="J95" s="561">
        <f t="shared" si="3"/>
        <v>0</v>
      </c>
      <c r="K95" s="193"/>
      <c r="L95" s="561">
        <f t="shared" si="4"/>
        <v>0</v>
      </c>
      <c r="M95" s="193"/>
      <c r="N95" s="561">
        <f t="shared" si="5"/>
        <v>0</v>
      </c>
    </row>
    <row r="96" spans="2:14" hidden="1">
      <c r="B96" s="745">
        <v>84</v>
      </c>
      <c r="C96" s="759"/>
      <c r="D96" s="760"/>
      <c r="E96" s="761"/>
      <c r="F96" s="762"/>
      <c r="G96" s="193"/>
      <c r="H96" s="555">
        <f>IF(Consolidado_A!$G$133&gt;=7.6%,-(0.0165+0.076)*F96,0)</f>
        <v>0</v>
      </c>
      <c r="I96" s="193"/>
      <c r="J96" s="561">
        <f t="shared" si="3"/>
        <v>0</v>
      </c>
      <c r="K96" s="193"/>
      <c r="L96" s="561">
        <f t="shared" si="4"/>
        <v>0</v>
      </c>
      <c r="M96" s="193"/>
      <c r="N96" s="561">
        <f t="shared" si="5"/>
        <v>0</v>
      </c>
    </row>
    <row r="97" spans="2:14" hidden="1">
      <c r="B97" s="745">
        <v>85</v>
      </c>
      <c r="C97" s="759"/>
      <c r="D97" s="760"/>
      <c r="E97" s="761"/>
      <c r="F97" s="762"/>
      <c r="G97" s="193"/>
      <c r="H97" s="555">
        <f>IF(Consolidado_A!$G$133&gt;=7.6%,-(0.0165+0.076)*F97,0)</f>
        <v>0</v>
      </c>
      <c r="I97" s="193"/>
      <c r="J97" s="561">
        <f t="shared" si="3"/>
        <v>0</v>
      </c>
      <c r="K97" s="193"/>
      <c r="L97" s="561">
        <f t="shared" si="4"/>
        <v>0</v>
      </c>
      <c r="M97" s="193"/>
      <c r="N97" s="561">
        <f t="shared" si="5"/>
        <v>0</v>
      </c>
    </row>
    <row r="98" spans="2:14" hidden="1">
      <c r="B98" s="745">
        <v>86</v>
      </c>
      <c r="C98" s="759"/>
      <c r="D98" s="760"/>
      <c r="E98" s="761"/>
      <c r="F98" s="762"/>
      <c r="G98" s="193"/>
      <c r="H98" s="555">
        <f>IF(Consolidado_A!$G$133&gt;=7.6%,-(0.0165+0.076)*F98,0)</f>
        <v>0</v>
      </c>
      <c r="I98" s="193"/>
      <c r="J98" s="561">
        <f t="shared" si="3"/>
        <v>0</v>
      </c>
      <c r="K98" s="193"/>
      <c r="L98" s="561">
        <f t="shared" si="4"/>
        <v>0</v>
      </c>
      <c r="M98" s="193"/>
      <c r="N98" s="561">
        <f t="shared" si="5"/>
        <v>0</v>
      </c>
    </row>
    <row r="99" spans="2:14" hidden="1">
      <c r="B99" s="745">
        <v>87</v>
      </c>
      <c r="C99" s="759"/>
      <c r="D99" s="760"/>
      <c r="E99" s="761"/>
      <c r="F99" s="762"/>
      <c r="G99" s="193"/>
      <c r="H99" s="555">
        <f>IF(Consolidado_A!$G$133&gt;=7.6%,-(0.0165+0.076)*F99,0)</f>
        <v>0</v>
      </c>
      <c r="I99" s="193"/>
      <c r="J99" s="561">
        <f t="shared" si="3"/>
        <v>0</v>
      </c>
      <c r="K99" s="193"/>
      <c r="L99" s="561">
        <f t="shared" si="4"/>
        <v>0</v>
      </c>
      <c r="M99" s="193"/>
      <c r="N99" s="561">
        <f t="shared" si="5"/>
        <v>0</v>
      </c>
    </row>
    <row r="100" spans="2:14" hidden="1">
      <c r="B100" s="745">
        <v>88</v>
      </c>
      <c r="C100" s="759"/>
      <c r="D100" s="760"/>
      <c r="E100" s="761"/>
      <c r="F100" s="762"/>
      <c r="G100" s="193"/>
      <c r="H100" s="555">
        <f>IF(Consolidado_A!$G$133&gt;=7.6%,-(0.0165+0.076)*F100,0)</f>
        <v>0</v>
      </c>
      <c r="I100" s="193"/>
      <c r="J100" s="561">
        <f t="shared" si="3"/>
        <v>0</v>
      </c>
      <c r="K100" s="193"/>
      <c r="L100" s="561">
        <f t="shared" si="4"/>
        <v>0</v>
      </c>
      <c r="M100" s="193"/>
      <c r="N100" s="561">
        <f t="shared" si="5"/>
        <v>0</v>
      </c>
    </row>
    <row r="101" spans="2:14" hidden="1">
      <c r="B101" s="745">
        <v>89</v>
      </c>
      <c r="C101" s="759"/>
      <c r="D101" s="760"/>
      <c r="E101" s="761"/>
      <c r="F101" s="762"/>
      <c r="G101" s="193"/>
      <c r="H101" s="555">
        <f>IF(Consolidado_A!$G$133&gt;=7.6%,-(0.0165+0.076)*F101,0)</f>
        <v>0</v>
      </c>
      <c r="I101" s="193"/>
      <c r="J101" s="561">
        <f t="shared" si="3"/>
        <v>0</v>
      </c>
      <c r="K101" s="193"/>
      <c r="L101" s="561">
        <f t="shared" si="4"/>
        <v>0</v>
      </c>
      <c r="M101" s="193"/>
      <c r="N101" s="561">
        <f t="shared" si="5"/>
        <v>0</v>
      </c>
    </row>
    <row r="102" spans="2:14" hidden="1">
      <c r="B102" s="745">
        <v>90</v>
      </c>
      <c r="C102" s="759"/>
      <c r="D102" s="760"/>
      <c r="E102" s="761"/>
      <c r="F102" s="762"/>
      <c r="G102" s="193"/>
      <c r="H102" s="555">
        <f>IF(Consolidado_A!$G$133&gt;=7.6%,-(0.0165+0.076)*F102,0)</f>
        <v>0</v>
      </c>
      <c r="I102" s="193"/>
      <c r="J102" s="561">
        <f t="shared" si="3"/>
        <v>0</v>
      </c>
      <c r="K102" s="193"/>
      <c r="L102" s="561">
        <f t="shared" si="4"/>
        <v>0</v>
      </c>
      <c r="M102" s="193"/>
      <c r="N102" s="561">
        <f t="shared" si="5"/>
        <v>0</v>
      </c>
    </row>
    <row r="103" spans="2:14" hidden="1">
      <c r="B103" s="745">
        <v>91</v>
      </c>
      <c r="C103" s="759"/>
      <c r="D103" s="760"/>
      <c r="E103" s="761"/>
      <c r="F103" s="762"/>
      <c r="G103" s="193"/>
      <c r="H103" s="555">
        <f>IF(Consolidado_A!$G$133&gt;=7.6%,-(0.0165+0.076)*F103,0)</f>
        <v>0</v>
      </c>
      <c r="I103" s="193"/>
      <c r="J103" s="561">
        <f t="shared" si="3"/>
        <v>0</v>
      </c>
      <c r="K103" s="193"/>
      <c r="L103" s="561">
        <f t="shared" si="4"/>
        <v>0</v>
      </c>
      <c r="M103" s="193"/>
      <c r="N103" s="561">
        <f t="shared" si="5"/>
        <v>0</v>
      </c>
    </row>
    <row r="104" spans="2:14" hidden="1">
      <c r="B104" s="745">
        <v>92</v>
      </c>
      <c r="C104" s="759"/>
      <c r="D104" s="760"/>
      <c r="E104" s="761"/>
      <c r="F104" s="762"/>
      <c r="G104" s="193"/>
      <c r="H104" s="555">
        <f>IF(Consolidado_A!$G$133&gt;=7.6%,-(0.0165+0.076)*F104,0)</f>
        <v>0</v>
      </c>
      <c r="I104" s="193"/>
      <c r="J104" s="561">
        <f t="shared" si="3"/>
        <v>0</v>
      </c>
      <c r="K104" s="193"/>
      <c r="L104" s="561">
        <f t="shared" si="4"/>
        <v>0</v>
      </c>
      <c r="M104" s="193"/>
      <c r="N104" s="561">
        <f t="shared" si="5"/>
        <v>0</v>
      </c>
    </row>
    <row r="105" spans="2:14" hidden="1">
      <c r="B105" s="745">
        <v>93</v>
      </c>
      <c r="C105" s="759"/>
      <c r="D105" s="760"/>
      <c r="E105" s="761"/>
      <c r="F105" s="762"/>
      <c r="G105" s="193"/>
      <c r="H105" s="555">
        <f>IF(Consolidado_A!$G$133&gt;=7.6%,-(0.0165+0.076)*F105,0)</f>
        <v>0</v>
      </c>
      <c r="I105" s="193"/>
      <c r="J105" s="561">
        <f t="shared" si="3"/>
        <v>0</v>
      </c>
      <c r="K105" s="193"/>
      <c r="L105" s="561">
        <f t="shared" si="4"/>
        <v>0</v>
      </c>
      <c r="M105" s="193"/>
      <c r="N105" s="561">
        <f t="shared" si="5"/>
        <v>0</v>
      </c>
    </row>
    <row r="106" spans="2:14" hidden="1">
      <c r="B106" s="745">
        <v>94</v>
      </c>
      <c r="C106" s="759"/>
      <c r="D106" s="760"/>
      <c r="E106" s="761"/>
      <c r="F106" s="762"/>
      <c r="G106" s="193"/>
      <c r="H106" s="555">
        <f>IF(Consolidado_A!$G$133&gt;=7.6%,-(0.0165+0.076)*F106,0)</f>
        <v>0</v>
      </c>
      <c r="I106" s="193"/>
      <c r="J106" s="561">
        <f t="shared" si="3"/>
        <v>0</v>
      </c>
      <c r="K106" s="193"/>
      <c r="L106" s="561">
        <f t="shared" si="4"/>
        <v>0</v>
      </c>
      <c r="M106" s="193"/>
      <c r="N106" s="561">
        <f t="shared" si="5"/>
        <v>0</v>
      </c>
    </row>
    <row r="107" spans="2:14" hidden="1">
      <c r="B107" s="745">
        <v>95</v>
      </c>
      <c r="C107" s="759"/>
      <c r="D107" s="760"/>
      <c r="E107" s="761"/>
      <c r="F107" s="762"/>
      <c r="G107" s="193"/>
      <c r="H107" s="555">
        <f>IF(Consolidado_A!$G$133&gt;=7.6%,-(0.0165+0.076)*F107,0)</f>
        <v>0</v>
      </c>
      <c r="I107" s="193"/>
      <c r="J107" s="561">
        <f t="shared" si="3"/>
        <v>0</v>
      </c>
      <c r="K107" s="193"/>
      <c r="L107" s="561">
        <f t="shared" si="4"/>
        <v>0</v>
      </c>
      <c r="M107" s="193"/>
      <c r="N107" s="561">
        <f t="shared" si="5"/>
        <v>0</v>
      </c>
    </row>
    <row r="108" spans="2:14" hidden="1">
      <c r="B108" s="745">
        <v>96</v>
      </c>
      <c r="C108" s="759"/>
      <c r="D108" s="760"/>
      <c r="E108" s="761"/>
      <c r="F108" s="762"/>
      <c r="G108" s="193"/>
      <c r="H108" s="555">
        <f>IF(Consolidado_A!$G$133&gt;=7.6%,-(0.0165+0.076)*F108,0)</f>
        <v>0</v>
      </c>
      <c r="I108" s="193"/>
      <c r="J108" s="561">
        <f t="shared" si="3"/>
        <v>0</v>
      </c>
      <c r="K108" s="193"/>
      <c r="L108" s="561">
        <f t="shared" si="4"/>
        <v>0</v>
      </c>
      <c r="M108" s="193"/>
      <c r="N108" s="561">
        <f t="shared" si="5"/>
        <v>0</v>
      </c>
    </row>
    <row r="109" spans="2:14" hidden="1">
      <c r="B109" s="745">
        <v>97</v>
      </c>
      <c r="C109" s="759"/>
      <c r="D109" s="760"/>
      <c r="E109" s="761"/>
      <c r="F109" s="762"/>
      <c r="G109" s="193"/>
      <c r="H109" s="555">
        <f>IF(Consolidado_A!$G$133&gt;=7.6%,-(0.0165+0.076)*F109,0)</f>
        <v>0</v>
      </c>
      <c r="I109" s="193"/>
      <c r="J109" s="561">
        <f t="shared" si="3"/>
        <v>0</v>
      </c>
      <c r="K109" s="193"/>
      <c r="L109" s="561">
        <f t="shared" si="4"/>
        <v>0</v>
      </c>
      <c r="M109" s="193"/>
      <c r="N109" s="561">
        <f t="shared" si="5"/>
        <v>0</v>
      </c>
    </row>
    <row r="110" spans="2:14" hidden="1">
      <c r="B110" s="745">
        <v>98</v>
      </c>
      <c r="C110" s="759"/>
      <c r="D110" s="760"/>
      <c r="E110" s="761"/>
      <c r="F110" s="762"/>
      <c r="G110" s="193"/>
      <c r="H110" s="555">
        <f>IF(Consolidado_A!$G$133&gt;=7.6%,-(0.0165+0.076)*F110,0)</f>
        <v>0</v>
      </c>
      <c r="I110" s="193"/>
      <c r="J110" s="561">
        <f t="shared" si="3"/>
        <v>0</v>
      </c>
      <c r="K110" s="193"/>
      <c r="L110" s="561">
        <f t="shared" si="4"/>
        <v>0</v>
      </c>
      <c r="M110" s="193"/>
      <c r="N110" s="561">
        <f t="shared" si="5"/>
        <v>0</v>
      </c>
    </row>
    <row r="111" spans="2:14" hidden="1">
      <c r="B111" s="745">
        <v>99</v>
      </c>
      <c r="C111" s="759"/>
      <c r="D111" s="760"/>
      <c r="E111" s="761"/>
      <c r="F111" s="762"/>
      <c r="G111" s="193"/>
      <c r="H111" s="555">
        <f>IF(Consolidado_A!$G$133&gt;=7.6%,-(0.0165+0.076)*F111,0)</f>
        <v>0</v>
      </c>
      <c r="I111" s="193"/>
      <c r="J111" s="561">
        <f t="shared" si="3"/>
        <v>0</v>
      </c>
      <c r="K111" s="193"/>
      <c r="L111" s="561">
        <f t="shared" si="4"/>
        <v>0</v>
      </c>
      <c r="M111" s="193"/>
      <c r="N111" s="561">
        <f t="shared" si="5"/>
        <v>0</v>
      </c>
    </row>
    <row r="112" spans="2:14" hidden="1">
      <c r="B112" s="745">
        <v>100</v>
      </c>
      <c r="C112" s="759"/>
      <c r="D112" s="760"/>
      <c r="E112" s="761"/>
      <c r="F112" s="762"/>
      <c r="G112" s="193"/>
      <c r="H112" s="555">
        <f>IF(Consolidado_A!$G$133&gt;=7.6%,-(0.0165+0.076)*F112,0)</f>
        <v>0</v>
      </c>
      <c r="I112" s="193"/>
      <c r="J112" s="561">
        <f t="shared" si="3"/>
        <v>0</v>
      </c>
      <c r="K112" s="193"/>
      <c r="L112" s="561">
        <f t="shared" si="4"/>
        <v>0</v>
      </c>
      <c r="M112" s="193"/>
      <c r="N112" s="561">
        <f t="shared" si="5"/>
        <v>0</v>
      </c>
    </row>
    <row r="113" spans="2:14" hidden="1">
      <c r="B113" s="745">
        <v>101</v>
      </c>
      <c r="C113" s="759"/>
      <c r="D113" s="760"/>
      <c r="E113" s="761"/>
      <c r="F113" s="762"/>
      <c r="G113" s="193"/>
      <c r="H113" s="555">
        <f>IF(Consolidado_A!$G$133&gt;=7.6%,-(0.0165+0.076)*F113,0)</f>
        <v>0</v>
      </c>
      <c r="I113" s="193"/>
      <c r="J113" s="561">
        <f t="shared" si="3"/>
        <v>0</v>
      </c>
      <c r="K113" s="193"/>
      <c r="L113" s="561">
        <f t="shared" si="4"/>
        <v>0</v>
      </c>
      <c r="M113" s="193"/>
      <c r="N113" s="561">
        <f t="shared" si="5"/>
        <v>0</v>
      </c>
    </row>
    <row r="114" spans="2:14" hidden="1">
      <c r="B114" s="745">
        <v>102</v>
      </c>
      <c r="C114" s="759"/>
      <c r="D114" s="760"/>
      <c r="E114" s="761"/>
      <c r="F114" s="762"/>
      <c r="G114" s="193"/>
      <c r="H114" s="555">
        <f>IF(Consolidado_A!$G$133&gt;=7.6%,-(0.0165+0.076)*F114,0)</f>
        <v>0</v>
      </c>
      <c r="I114" s="193"/>
      <c r="J114" s="561">
        <f t="shared" si="3"/>
        <v>0</v>
      </c>
      <c r="K114" s="193"/>
      <c r="L114" s="561">
        <f t="shared" si="4"/>
        <v>0</v>
      </c>
      <c r="M114" s="193"/>
      <c r="N114" s="561">
        <f t="shared" si="5"/>
        <v>0</v>
      </c>
    </row>
    <row r="115" spans="2:14" hidden="1">
      <c r="B115" s="745">
        <v>103</v>
      </c>
      <c r="C115" s="759"/>
      <c r="D115" s="760"/>
      <c r="E115" s="761"/>
      <c r="F115" s="762"/>
      <c r="G115" s="193"/>
      <c r="H115" s="555">
        <f>IF(Consolidado_A!$G$133&gt;=7.6%,-(0.0165+0.076)*F115,0)</f>
        <v>0</v>
      </c>
      <c r="I115" s="193"/>
      <c r="J115" s="561">
        <f t="shared" si="3"/>
        <v>0</v>
      </c>
      <c r="K115" s="193"/>
      <c r="L115" s="561">
        <f t="shared" si="4"/>
        <v>0</v>
      </c>
      <c r="M115" s="193"/>
      <c r="N115" s="561">
        <f t="shared" si="5"/>
        <v>0</v>
      </c>
    </row>
    <row r="116" spans="2:14" hidden="1">
      <c r="B116" s="745">
        <v>104</v>
      </c>
      <c r="C116" s="759"/>
      <c r="D116" s="760"/>
      <c r="E116" s="761"/>
      <c r="F116" s="762"/>
      <c r="G116" s="193"/>
      <c r="H116" s="555">
        <f>IF(Consolidado_A!$G$133&gt;=7.6%,-(0.0165+0.076)*F116,0)</f>
        <v>0</v>
      </c>
      <c r="I116" s="193"/>
      <c r="J116" s="561">
        <f t="shared" si="3"/>
        <v>0</v>
      </c>
      <c r="K116" s="193"/>
      <c r="L116" s="561">
        <f t="shared" si="4"/>
        <v>0</v>
      </c>
      <c r="M116" s="193"/>
      <c r="N116" s="561">
        <f t="shared" si="5"/>
        <v>0</v>
      </c>
    </row>
    <row r="117" spans="2:14" hidden="1">
      <c r="B117" s="745">
        <v>105</v>
      </c>
      <c r="C117" s="759"/>
      <c r="D117" s="760"/>
      <c r="E117" s="761"/>
      <c r="F117" s="762"/>
      <c r="G117" s="193"/>
      <c r="H117" s="555">
        <f>IF(Consolidado_A!$G$133&gt;=7.6%,-(0.0165+0.076)*F117,0)</f>
        <v>0</v>
      </c>
      <c r="I117" s="193"/>
      <c r="J117" s="561">
        <f t="shared" si="3"/>
        <v>0</v>
      </c>
      <c r="K117" s="193"/>
      <c r="L117" s="561">
        <f t="shared" si="4"/>
        <v>0</v>
      </c>
      <c r="M117" s="193"/>
      <c r="N117" s="561">
        <f t="shared" si="5"/>
        <v>0</v>
      </c>
    </row>
    <row r="118" spans="2:14" hidden="1">
      <c r="B118" s="745">
        <v>106</v>
      </c>
      <c r="C118" s="759"/>
      <c r="D118" s="760"/>
      <c r="E118" s="761"/>
      <c r="F118" s="762"/>
      <c r="G118" s="193"/>
      <c r="H118" s="555">
        <f>IF(Consolidado_A!$G$133&gt;=7.6%,-(0.0165+0.076)*F118,0)</f>
        <v>0</v>
      </c>
      <c r="I118" s="193"/>
      <c r="J118" s="561">
        <f t="shared" si="3"/>
        <v>0</v>
      </c>
      <c r="K118" s="193"/>
      <c r="L118" s="561">
        <f t="shared" si="4"/>
        <v>0</v>
      </c>
      <c r="M118" s="193"/>
      <c r="N118" s="561">
        <f t="shared" si="5"/>
        <v>0</v>
      </c>
    </row>
    <row r="119" spans="2:14" hidden="1">
      <c r="B119" s="745">
        <v>107</v>
      </c>
      <c r="C119" s="759"/>
      <c r="D119" s="760"/>
      <c r="E119" s="761"/>
      <c r="F119" s="762"/>
      <c r="G119" s="193"/>
      <c r="H119" s="555">
        <f>IF(Consolidado_A!$G$133&gt;=7.6%,-(0.0165+0.076)*F119,0)</f>
        <v>0</v>
      </c>
      <c r="I119" s="193"/>
      <c r="J119" s="561">
        <f t="shared" si="3"/>
        <v>0</v>
      </c>
      <c r="K119" s="193"/>
      <c r="L119" s="561">
        <f t="shared" si="4"/>
        <v>0</v>
      </c>
      <c r="M119" s="193"/>
      <c r="N119" s="561">
        <f t="shared" si="5"/>
        <v>0</v>
      </c>
    </row>
    <row r="120" spans="2:14" hidden="1">
      <c r="B120" s="745">
        <v>108</v>
      </c>
      <c r="C120" s="759"/>
      <c r="D120" s="760"/>
      <c r="E120" s="761"/>
      <c r="F120" s="762"/>
      <c r="G120" s="193"/>
      <c r="H120" s="555">
        <f>IF(Consolidado_A!$G$133&gt;=7.6%,-(0.0165+0.076)*F120,0)</f>
        <v>0</v>
      </c>
      <c r="I120" s="193"/>
      <c r="J120" s="561">
        <f t="shared" si="3"/>
        <v>0</v>
      </c>
      <c r="K120" s="193"/>
      <c r="L120" s="561">
        <f t="shared" si="4"/>
        <v>0</v>
      </c>
      <c r="M120" s="193"/>
      <c r="N120" s="561">
        <f t="shared" si="5"/>
        <v>0</v>
      </c>
    </row>
    <row r="121" spans="2:14" hidden="1">
      <c r="B121" s="745">
        <v>109</v>
      </c>
      <c r="C121" s="759"/>
      <c r="D121" s="760"/>
      <c r="E121" s="761"/>
      <c r="F121" s="762"/>
      <c r="G121" s="193"/>
      <c r="H121" s="555">
        <f>IF(Consolidado_A!$G$133&gt;=7.6%,-(0.0165+0.076)*F121,0)</f>
        <v>0</v>
      </c>
      <c r="I121" s="193"/>
      <c r="J121" s="561">
        <f t="shared" si="3"/>
        <v>0</v>
      </c>
      <c r="K121" s="193"/>
      <c r="L121" s="561">
        <f t="shared" si="4"/>
        <v>0</v>
      </c>
      <c r="M121" s="193"/>
      <c r="N121" s="561">
        <f t="shared" si="5"/>
        <v>0</v>
      </c>
    </row>
    <row r="122" spans="2:14" hidden="1">
      <c r="B122" s="745">
        <v>110</v>
      </c>
      <c r="C122" s="759"/>
      <c r="D122" s="760"/>
      <c r="E122" s="761"/>
      <c r="F122" s="762"/>
      <c r="G122" s="193"/>
      <c r="H122" s="555">
        <f>IF(Consolidado_A!$G$133&gt;=7.6%,-(0.0165+0.076)*F122,0)</f>
        <v>0</v>
      </c>
      <c r="I122" s="193"/>
      <c r="J122" s="561">
        <f t="shared" si="3"/>
        <v>0</v>
      </c>
      <c r="K122" s="193"/>
      <c r="L122" s="561">
        <f t="shared" si="4"/>
        <v>0</v>
      </c>
      <c r="M122" s="193"/>
      <c r="N122" s="561">
        <f t="shared" si="5"/>
        <v>0</v>
      </c>
    </row>
    <row r="123" spans="2:14" hidden="1">
      <c r="B123" s="745">
        <v>111</v>
      </c>
      <c r="C123" s="759"/>
      <c r="D123" s="760"/>
      <c r="E123" s="761"/>
      <c r="F123" s="762"/>
      <c r="G123" s="193"/>
      <c r="H123" s="555">
        <f>IF(Consolidado_A!$G$133&gt;=7.6%,-(0.0165+0.076)*F123,0)</f>
        <v>0</v>
      </c>
      <c r="I123" s="193"/>
      <c r="J123" s="561">
        <f t="shared" si="3"/>
        <v>0</v>
      </c>
      <c r="K123" s="193"/>
      <c r="L123" s="561">
        <f t="shared" si="4"/>
        <v>0</v>
      </c>
      <c r="M123" s="193"/>
      <c r="N123" s="561">
        <f t="shared" si="5"/>
        <v>0</v>
      </c>
    </row>
    <row r="124" spans="2:14" hidden="1">
      <c r="B124" s="745">
        <v>112</v>
      </c>
      <c r="C124" s="759"/>
      <c r="D124" s="760"/>
      <c r="E124" s="761"/>
      <c r="F124" s="762"/>
      <c r="G124" s="193"/>
      <c r="H124" s="555">
        <f>IF(Consolidado_A!$G$133&gt;=7.6%,-(0.0165+0.076)*F124,0)</f>
        <v>0</v>
      </c>
      <c r="I124" s="193"/>
      <c r="J124" s="561">
        <f t="shared" si="3"/>
        <v>0</v>
      </c>
      <c r="K124" s="193"/>
      <c r="L124" s="561">
        <f t="shared" si="4"/>
        <v>0</v>
      </c>
      <c r="M124" s="193"/>
      <c r="N124" s="561">
        <f t="shared" si="5"/>
        <v>0</v>
      </c>
    </row>
    <row r="125" spans="2:14" hidden="1">
      <c r="B125" s="745">
        <v>113</v>
      </c>
      <c r="C125" s="759"/>
      <c r="D125" s="760"/>
      <c r="E125" s="761"/>
      <c r="F125" s="762"/>
      <c r="G125" s="193"/>
      <c r="H125" s="555">
        <f>IF(Consolidado_A!$G$133&gt;=7.6%,-(0.0165+0.076)*F125,0)</f>
        <v>0</v>
      </c>
      <c r="I125" s="193"/>
      <c r="J125" s="561">
        <f t="shared" si="3"/>
        <v>0</v>
      </c>
      <c r="K125" s="193"/>
      <c r="L125" s="561">
        <f t="shared" si="4"/>
        <v>0</v>
      </c>
      <c r="M125" s="193"/>
      <c r="N125" s="561">
        <f t="shared" si="5"/>
        <v>0</v>
      </c>
    </row>
    <row r="126" spans="2:14" hidden="1">
      <c r="B126" s="745">
        <v>114</v>
      </c>
      <c r="C126" s="759"/>
      <c r="D126" s="760"/>
      <c r="E126" s="761"/>
      <c r="F126" s="762"/>
      <c r="G126" s="193"/>
      <c r="H126" s="555">
        <f>IF(Consolidado_A!$G$133&gt;=7.6%,-(0.0165+0.076)*F126,0)</f>
        <v>0</v>
      </c>
      <c r="I126" s="193"/>
      <c r="J126" s="561">
        <f t="shared" si="3"/>
        <v>0</v>
      </c>
      <c r="K126" s="193"/>
      <c r="L126" s="561">
        <f t="shared" si="4"/>
        <v>0</v>
      </c>
      <c r="M126" s="193"/>
      <c r="N126" s="561">
        <f t="shared" si="5"/>
        <v>0</v>
      </c>
    </row>
    <row r="127" spans="2:14" hidden="1">
      <c r="B127" s="745">
        <v>115</v>
      </c>
      <c r="C127" s="759"/>
      <c r="D127" s="760"/>
      <c r="E127" s="761"/>
      <c r="F127" s="762"/>
      <c r="G127" s="193"/>
      <c r="H127" s="555">
        <f>IF(Consolidado_A!$G$133&gt;=7.6%,-(0.0165+0.076)*F127,0)</f>
        <v>0</v>
      </c>
      <c r="I127" s="193"/>
      <c r="J127" s="561">
        <f t="shared" si="3"/>
        <v>0</v>
      </c>
      <c r="K127" s="193"/>
      <c r="L127" s="561">
        <f t="shared" si="4"/>
        <v>0</v>
      </c>
      <c r="M127" s="193"/>
      <c r="N127" s="561">
        <f t="shared" si="5"/>
        <v>0</v>
      </c>
    </row>
    <row r="128" spans="2:14" hidden="1">
      <c r="B128" s="745">
        <v>116</v>
      </c>
      <c r="C128" s="759"/>
      <c r="D128" s="760"/>
      <c r="E128" s="761"/>
      <c r="F128" s="762"/>
      <c r="G128" s="193"/>
      <c r="H128" s="555">
        <f>IF(Consolidado_A!$G$133&gt;=7.6%,-(0.0165+0.076)*F128,0)</f>
        <v>0</v>
      </c>
      <c r="I128" s="193"/>
      <c r="J128" s="561">
        <f t="shared" si="3"/>
        <v>0</v>
      </c>
      <c r="K128" s="193"/>
      <c r="L128" s="561">
        <f t="shared" si="4"/>
        <v>0</v>
      </c>
      <c r="M128" s="193"/>
      <c r="N128" s="561">
        <f t="shared" si="5"/>
        <v>0</v>
      </c>
    </row>
    <row r="129" spans="2:14" hidden="1">
      <c r="B129" s="745">
        <v>117</v>
      </c>
      <c r="C129" s="759"/>
      <c r="D129" s="760"/>
      <c r="E129" s="761"/>
      <c r="F129" s="762"/>
      <c r="G129" s="193"/>
      <c r="H129" s="555">
        <f>IF(Consolidado_A!$G$133&gt;=7.6%,-(0.0165+0.076)*F129,0)</f>
        <v>0</v>
      </c>
      <c r="I129" s="193"/>
      <c r="J129" s="561">
        <f t="shared" si="3"/>
        <v>0</v>
      </c>
      <c r="K129" s="193"/>
      <c r="L129" s="561">
        <f t="shared" si="4"/>
        <v>0</v>
      </c>
      <c r="M129" s="193"/>
      <c r="N129" s="561">
        <f t="shared" si="5"/>
        <v>0</v>
      </c>
    </row>
    <row r="130" spans="2:14" hidden="1">
      <c r="B130" s="745">
        <v>118</v>
      </c>
      <c r="C130" s="759"/>
      <c r="D130" s="760"/>
      <c r="E130" s="761"/>
      <c r="F130" s="762"/>
      <c r="G130" s="193"/>
      <c r="H130" s="555">
        <f>IF(Consolidado_A!$G$133&gt;=7.6%,-(0.0165+0.076)*F130,0)</f>
        <v>0</v>
      </c>
      <c r="I130" s="193"/>
      <c r="J130" s="561">
        <f t="shared" si="3"/>
        <v>0</v>
      </c>
      <c r="K130" s="193"/>
      <c r="L130" s="561">
        <f t="shared" si="4"/>
        <v>0</v>
      </c>
      <c r="M130" s="193"/>
      <c r="N130" s="561">
        <f t="shared" si="5"/>
        <v>0</v>
      </c>
    </row>
    <row r="131" spans="2:14" hidden="1">
      <c r="B131" s="745">
        <v>119</v>
      </c>
      <c r="C131" s="759"/>
      <c r="D131" s="760"/>
      <c r="E131" s="761"/>
      <c r="F131" s="762"/>
      <c r="G131" s="193"/>
      <c r="H131" s="555">
        <f>IF(Consolidado_A!$G$133&gt;=7.6%,-(0.0165+0.076)*F131,0)</f>
        <v>0</v>
      </c>
      <c r="I131" s="193"/>
      <c r="J131" s="561">
        <f t="shared" si="3"/>
        <v>0</v>
      </c>
      <c r="K131" s="193"/>
      <c r="L131" s="561">
        <f t="shared" si="4"/>
        <v>0</v>
      </c>
      <c r="M131" s="193"/>
      <c r="N131" s="561">
        <f t="shared" si="5"/>
        <v>0</v>
      </c>
    </row>
    <row r="132" spans="2:14" hidden="1">
      <c r="B132" s="745">
        <v>120</v>
      </c>
      <c r="C132" s="759"/>
      <c r="D132" s="760"/>
      <c r="E132" s="761"/>
      <c r="F132" s="762"/>
      <c r="G132" s="193"/>
      <c r="H132" s="555">
        <f>IF(Consolidado_A!$G$133&gt;=7.6%,-(0.0165+0.076)*F132,0)</f>
        <v>0</v>
      </c>
      <c r="I132" s="193"/>
      <c r="J132" s="561">
        <f t="shared" si="3"/>
        <v>0</v>
      </c>
      <c r="K132" s="193"/>
      <c r="L132" s="561">
        <f t="shared" si="4"/>
        <v>0</v>
      </c>
      <c r="M132" s="193"/>
      <c r="N132" s="561">
        <f t="shared" si="5"/>
        <v>0</v>
      </c>
    </row>
    <row r="133" spans="2:14" hidden="1">
      <c r="B133" s="745">
        <v>121</v>
      </c>
      <c r="C133" s="759"/>
      <c r="D133" s="760"/>
      <c r="E133" s="761"/>
      <c r="F133" s="762"/>
      <c r="G133" s="193"/>
      <c r="H133" s="555">
        <f>IF(Consolidado_A!$G$133&gt;=7.6%,-(0.0165+0.076)*F133,0)</f>
        <v>0</v>
      </c>
      <c r="I133" s="193"/>
      <c r="J133" s="561">
        <f t="shared" si="3"/>
        <v>0</v>
      </c>
      <c r="K133" s="193"/>
      <c r="L133" s="561">
        <f t="shared" si="4"/>
        <v>0</v>
      </c>
      <c r="M133" s="193"/>
      <c r="N133" s="561">
        <f t="shared" si="5"/>
        <v>0</v>
      </c>
    </row>
    <row r="134" spans="2:14" hidden="1">
      <c r="B134" s="745">
        <v>122</v>
      </c>
      <c r="C134" s="759"/>
      <c r="D134" s="760"/>
      <c r="E134" s="761"/>
      <c r="F134" s="762"/>
      <c r="G134" s="193"/>
      <c r="H134" s="555">
        <f>IF(Consolidado_A!$G$133&gt;=7.6%,-(0.0165+0.076)*F134,0)</f>
        <v>0</v>
      </c>
      <c r="I134" s="193"/>
      <c r="J134" s="561">
        <f t="shared" si="3"/>
        <v>0</v>
      </c>
      <c r="K134" s="193"/>
      <c r="L134" s="561">
        <f t="shared" si="4"/>
        <v>0</v>
      </c>
      <c r="M134" s="193"/>
      <c r="N134" s="561">
        <f t="shared" si="5"/>
        <v>0</v>
      </c>
    </row>
    <row r="135" spans="2:14" hidden="1">
      <c r="B135" s="745">
        <v>123</v>
      </c>
      <c r="C135" s="759"/>
      <c r="D135" s="760"/>
      <c r="E135" s="761"/>
      <c r="F135" s="762"/>
      <c r="G135" s="193"/>
      <c r="H135" s="555">
        <f>IF(Consolidado_A!$G$133&gt;=7.6%,-(0.0165+0.076)*F135,0)</f>
        <v>0</v>
      </c>
      <c r="I135" s="193"/>
      <c r="J135" s="561">
        <f t="shared" si="3"/>
        <v>0</v>
      </c>
      <c r="K135" s="193"/>
      <c r="L135" s="561">
        <f t="shared" si="4"/>
        <v>0</v>
      </c>
      <c r="M135" s="193"/>
      <c r="N135" s="561">
        <f t="shared" si="5"/>
        <v>0</v>
      </c>
    </row>
    <row r="136" spans="2:14" hidden="1">
      <c r="B136" s="745">
        <v>124</v>
      </c>
      <c r="C136" s="759"/>
      <c r="D136" s="760"/>
      <c r="E136" s="761"/>
      <c r="F136" s="762"/>
      <c r="G136" s="193"/>
      <c r="H136" s="555">
        <f>IF(Consolidado_A!$G$133&gt;=7.6%,-(0.0165+0.076)*F136,0)</f>
        <v>0</v>
      </c>
      <c r="I136" s="193"/>
      <c r="J136" s="561">
        <f t="shared" si="3"/>
        <v>0</v>
      </c>
      <c r="K136" s="193"/>
      <c r="L136" s="561">
        <f t="shared" si="4"/>
        <v>0</v>
      </c>
      <c r="M136" s="193"/>
      <c r="N136" s="561">
        <f t="shared" si="5"/>
        <v>0</v>
      </c>
    </row>
    <row r="137" spans="2:14" hidden="1">
      <c r="B137" s="745">
        <v>125</v>
      </c>
      <c r="C137" s="759"/>
      <c r="D137" s="760"/>
      <c r="E137" s="761"/>
      <c r="F137" s="762"/>
      <c r="G137" s="193"/>
      <c r="H137" s="555">
        <f>IF(Consolidado_A!$G$133&gt;=7.6%,-(0.0165+0.076)*F137,0)</f>
        <v>0</v>
      </c>
      <c r="I137" s="193"/>
      <c r="J137" s="561">
        <f t="shared" si="3"/>
        <v>0</v>
      </c>
      <c r="K137" s="193"/>
      <c r="L137" s="561">
        <f t="shared" si="4"/>
        <v>0</v>
      </c>
      <c r="M137" s="193"/>
      <c r="N137" s="561">
        <f t="shared" si="5"/>
        <v>0</v>
      </c>
    </row>
    <row r="138" spans="2:14" hidden="1">
      <c r="B138" s="745">
        <v>126</v>
      </c>
      <c r="C138" s="759"/>
      <c r="D138" s="760"/>
      <c r="E138" s="761"/>
      <c r="F138" s="762"/>
      <c r="G138" s="193"/>
      <c r="H138" s="555">
        <f>IF(Consolidado_A!$G$133&gt;=7.6%,-(0.0165+0.076)*F138,0)</f>
        <v>0</v>
      </c>
      <c r="I138" s="193"/>
      <c r="J138" s="561">
        <f t="shared" si="3"/>
        <v>0</v>
      </c>
      <c r="K138" s="193"/>
      <c r="L138" s="561">
        <f t="shared" si="4"/>
        <v>0</v>
      </c>
      <c r="M138" s="193"/>
      <c r="N138" s="561">
        <f t="shared" si="5"/>
        <v>0</v>
      </c>
    </row>
    <row r="139" spans="2:14" hidden="1">
      <c r="B139" s="745">
        <v>127</v>
      </c>
      <c r="C139" s="759"/>
      <c r="D139" s="760"/>
      <c r="E139" s="761"/>
      <c r="F139" s="762"/>
      <c r="G139" s="193"/>
      <c r="H139" s="555">
        <f>IF(Consolidado_A!$G$133&gt;=7.6%,-(0.0165+0.076)*F139,0)</f>
        <v>0</v>
      </c>
      <c r="I139" s="193"/>
      <c r="J139" s="561">
        <f t="shared" si="3"/>
        <v>0</v>
      </c>
      <c r="K139" s="193"/>
      <c r="L139" s="561">
        <f t="shared" si="4"/>
        <v>0</v>
      </c>
      <c r="M139" s="193"/>
      <c r="N139" s="561">
        <f t="shared" si="5"/>
        <v>0</v>
      </c>
    </row>
    <row r="140" spans="2:14" hidden="1">
      <c r="B140" s="745">
        <v>128</v>
      </c>
      <c r="C140" s="759"/>
      <c r="D140" s="760"/>
      <c r="E140" s="761"/>
      <c r="F140" s="762"/>
      <c r="G140" s="193"/>
      <c r="H140" s="555">
        <f>IF(Consolidado_A!$G$133&gt;=7.6%,-(0.0165+0.076)*F140,0)</f>
        <v>0</v>
      </c>
      <c r="I140" s="193"/>
      <c r="J140" s="561">
        <f t="shared" si="3"/>
        <v>0</v>
      </c>
      <c r="K140" s="193"/>
      <c r="L140" s="561">
        <f t="shared" si="4"/>
        <v>0</v>
      </c>
      <c r="M140" s="193"/>
      <c r="N140" s="561">
        <f t="shared" si="5"/>
        <v>0</v>
      </c>
    </row>
    <row r="141" spans="2:14" hidden="1">
      <c r="B141" s="745">
        <v>129</v>
      </c>
      <c r="C141" s="759"/>
      <c r="D141" s="760"/>
      <c r="E141" s="761"/>
      <c r="F141" s="762"/>
      <c r="G141" s="193"/>
      <c r="H141" s="555">
        <f>IF(Consolidado_A!$G$133&gt;=7.6%,-(0.0165+0.076)*F141,0)</f>
        <v>0</v>
      </c>
      <c r="I141" s="193"/>
      <c r="J141" s="561">
        <f t="shared" ref="J141:J204" si="6">F141+H141</f>
        <v>0</v>
      </c>
      <c r="K141" s="193"/>
      <c r="L141" s="561">
        <f t="shared" ref="L141:L204" si="7">J141*E141</f>
        <v>0</v>
      </c>
      <c r="M141" s="193"/>
      <c r="N141" s="561">
        <f t="shared" ref="N141:N204" si="8">L141*12</f>
        <v>0</v>
      </c>
    </row>
    <row r="142" spans="2:14" hidden="1">
      <c r="B142" s="745">
        <v>130</v>
      </c>
      <c r="C142" s="759"/>
      <c r="D142" s="760"/>
      <c r="E142" s="761"/>
      <c r="F142" s="762"/>
      <c r="G142" s="193"/>
      <c r="H142" s="555">
        <f>IF(Consolidado_A!$G$133&gt;=7.6%,-(0.0165+0.076)*F142,0)</f>
        <v>0</v>
      </c>
      <c r="I142" s="193"/>
      <c r="J142" s="561">
        <f t="shared" si="6"/>
        <v>0</v>
      </c>
      <c r="K142" s="193"/>
      <c r="L142" s="561">
        <f t="shared" si="7"/>
        <v>0</v>
      </c>
      <c r="M142" s="193"/>
      <c r="N142" s="561">
        <f t="shared" si="8"/>
        <v>0</v>
      </c>
    </row>
    <row r="143" spans="2:14" hidden="1">
      <c r="B143" s="745">
        <v>131</v>
      </c>
      <c r="C143" s="759"/>
      <c r="D143" s="760"/>
      <c r="E143" s="761"/>
      <c r="F143" s="762"/>
      <c r="G143" s="193"/>
      <c r="H143" s="555">
        <f>IF(Consolidado_A!$G$133&gt;=7.6%,-(0.0165+0.076)*F143,0)</f>
        <v>0</v>
      </c>
      <c r="I143" s="193"/>
      <c r="J143" s="561">
        <f t="shared" si="6"/>
        <v>0</v>
      </c>
      <c r="K143" s="193"/>
      <c r="L143" s="561">
        <f t="shared" si="7"/>
        <v>0</v>
      </c>
      <c r="M143" s="193"/>
      <c r="N143" s="561">
        <f t="shared" si="8"/>
        <v>0</v>
      </c>
    </row>
    <row r="144" spans="2:14" hidden="1">
      <c r="B144" s="745">
        <v>132</v>
      </c>
      <c r="C144" s="759"/>
      <c r="D144" s="760"/>
      <c r="E144" s="761"/>
      <c r="F144" s="762"/>
      <c r="G144" s="193"/>
      <c r="H144" s="555">
        <f>IF(Consolidado_A!$G$133&gt;=7.6%,-(0.0165+0.076)*F144,0)</f>
        <v>0</v>
      </c>
      <c r="I144" s="193"/>
      <c r="J144" s="561">
        <f t="shared" si="6"/>
        <v>0</v>
      </c>
      <c r="K144" s="193"/>
      <c r="L144" s="561">
        <f t="shared" si="7"/>
        <v>0</v>
      </c>
      <c r="M144" s="193"/>
      <c r="N144" s="561">
        <f t="shared" si="8"/>
        <v>0</v>
      </c>
    </row>
    <row r="145" spans="2:14" hidden="1">
      <c r="B145" s="745">
        <v>133</v>
      </c>
      <c r="C145" s="759"/>
      <c r="D145" s="760"/>
      <c r="E145" s="761"/>
      <c r="F145" s="762"/>
      <c r="G145" s="193"/>
      <c r="H145" s="555">
        <f>IF(Consolidado_A!$G$133&gt;=7.6%,-(0.0165+0.076)*F145,0)</f>
        <v>0</v>
      </c>
      <c r="I145" s="193"/>
      <c r="J145" s="561">
        <f t="shared" si="6"/>
        <v>0</v>
      </c>
      <c r="K145" s="193"/>
      <c r="L145" s="561">
        <f t="shared" si="7"/>
        <v>0</v>
      </c>
      <c r="M145" s="193"/>
      <c r="N145" s="561">
        <f t="shared" si="8"/>
        <v>0</v>
      </c>
    </row>
    <row r="146" spans="2:14" hidden="1">
      <c r="B146" s="745">
        <v>134</v>
      </c>
      <c r="C146" s="759"/>
      <c r="D146" s="760"/>
      <c r="E146" s="761"/>
      <c r="F146" s="762"/>
      <c r="G146" s="193"/>
      <c r="H146" s="555">
        <f>IF(Consolidado_A!$G$133&gt;=7.6%,-(0.0165+0.076)*F146,0)</f>
        <v>0</v>
      </c>
      <c r="I146" s="193"/>
      <c r="J146" s="561">
        <f t="shared" si="6"/>
        <v>0</v>
      </c>
      <c r="K146" s="193"/>
      <c r="L146" s="561">
        <f t="shared" si="7"/>
        <v>0</v>
      </c>
      <c r="M146" s="193"/>
      <c r="N146" s="561">
        <f t="shared" si="8"/>
        <v>0</v>
      </c>
    </row>
    <row r="147" spans="2:14" hidden="1">
      <c r="B147" s="745">
        <v>135</v>
      </c>
      <c r="C147" s="759"/>
      <c r="D147" s="760"/>
      <c r="E147" s="761"/>
      <c r="F147" s="762"/>
      <c r="G147" s="193"/>
      <c r="H147" s="555">
        <f>IF(Consolidado_A!$G$133&gt;=7.6%,-(0.0165+0.076)*F147,0)</f>
        <v>0</v>
      </c>
      <c r="I147" s="193"/>
      <c r="J147" s="561">
        <f t="shared" si="6"/>
        <v>0</v>
      </c>
      <c r="K147" s="193"/>
      <c r="L147" s="561">
        <f t="shared" si="7"/>
        <v>0</v>
      </c>
      <c r="M147" s="193"/>
      <c r="N147" s="561">
        <f t="shared" si="8"/>
        <v>0</v>
      </c>
    </row>
    <row r="148" spans="2:14" hidden="1">
      <c r="B148" s="745">
        <v>136</v>
      </c>
      <c r="C148" s="759"/>
      <c r="D148" s="760"/>
      <c r="E148" s="761"/>
      <c r="F148" s="762"/>
      <c r="G148" s="193"/>
      <c r="H148" s="555">
        <f>IF(Consolidado_A!$G$133&gt;=7.6%,-(0.0165+0.076)*F148,0)</f>
        <v>0</v>
      </c>
      <c r="I148" s="193"/>
      <c r="J148" s="561">
        <f t="shared" si="6"/>
        <v>0</v>
      </c>
      <c r="K148" s="193"/>
      <c r="L148" s="561">
        <f t="shared" si="7"/>
        <v>0</v>
      </c>
      <c r="M148" s="193"/>
      <c r="N148" s="561">
        <f t="shared" si="8"/>
        <v>0</v>
      </c>
    </row>
    <row r="149" spans="2:14" hidden="1">
      <c r="B149" s="745">
        <v>137</v>
      </c>
      <c r="C149" s="759"/>
      <c r="D149" s="760"/>
      <c r="E149" s="761"/>
      <c r="F149" s="762"/>
      <c r="G149" s="193"/>
      <c r="H149" s="555">
        <f>IF(Consolidado_A!$G$133&gt;=7.6%,-(0.0165+0.076)*F149,0)</f>
        <v>0</v>
      </c>
      <c r="I149" s="193"/>
      <c r="J149" s="561">
        <f t="shared" si="6"/>
        <v>0</v>
      </c>
      <c r="K149" s="193"/>
      <c r="L149" s="561">
        <f t="shared" si="7"/>
        <v>0</v>
      </c>
      <c r="M149" s="193"/>
      <c r="N149" s="561">
        <f t="shared" si="8"/>
        <v>0</v>
      </c>
    </row>
    <row r="150" spans="2:14" hidden="1">
      <c r="B150" s="745">
        <v>138</v>
      </c>
      <c r="C150" s="759"/>
      <c r="D150" s="760"/>
      <c r="E150" s="761"/>
      <c r="F150" s="762"/>
      <c r="G150" s="193"/>
      <c r="H150" s="555">
        <f>IF(Consolidado_A!$G$133&gt;=7.6%,-(0.0165+0.076)*F150,0)</f>
        <v>0</v>
      </c>
      <c r="I150" s="193"/>
      <c r="J150" s="561">
        <f t="shared" si="6"/>
        <v>0</v>
      </c>
      <c r="K150" s="193"/>
      <c r="L150" s="561">
        <f t="shared" si="7"/>
        <v>0</v>
      </c>
      <c r="M150" s="193"/>
      <c r="N150" s="561">
        <f t="shared" si="8"/>
        <v>0</v>
      </c>
    </row>
    <row r="151" spans="2:14" hidden="1">
      <c r="B151" s="745">
        <v>139</v>
      </c>
      <c r="C151" s="759"/>
      <c r="D151" s="760"/>
      <c r="E151" s="761"/>
      <c r="F151" s="762"/>
      <c r="G151" s="193"/>
      <c r="H151" s="555">
        <f>IF(Consolidado_A!$G$133&gt;=7.6%,-(0.0165+0.076)*F151,0)</f>
        <v>0</v>
      </c>
      <c r="I151" s="193"/>
      <c r="J151" s="561">
        <f t="shared" si="6"/>
        <v>0</v>
      </c>
      <c r="K151" s="193"/>
      <c r="L151" s="561">
        <f t="shared" si="7"/>
        <v>0</v>
      </c>
      <c r="M151" s="193"/>
      <c r="N151" s="561">
        <f t="shared" si="8"/>
        <v>0</v>
      </c>
    </row>
    <row r="152" spans="2:14" hidden="1">
      <c r="B152" s="745">
        <v>140</v>
      </c>
      <c r="C152" s="759"/>
      <c r="D152" s="760"/>
      <c r="E152" s="761"/>
      <c r="F152" s="762"/>
      <c r="G152" s="193"/>
      <c r="H152" s="555">
        <f>IF(Consolidado_A!$G$133&gt;=7.6%,-(0.0165+0.076)*F152,0)</f>
        <v>0</v>
      </c>
      <c r="I152" s="193"/>
      <c r="J152" s="561">
        <f t="shared" si="6"/>
        <v>0</v>
      </c>
      <c r="K152" s="193"/>
      <c r="L152" s="561">
        <f t="shared" si="7"/>
        <v>0</v>
      </c>
      <c r="M152" s="193"/>
      <c r="N152" s="561">
        <f t="shared" si="8"/>
        <v>0</v>
      </c>
    </row>
    <row r="153" spans="2:14" hidden="1">
      <c r="B153" s="745">
        <v>141</v>
      </c>
      <c r="C153" s="759"/>
      <c r="D153" s="760"/>
      <c r="E153" s="761"/>
      <c r="F153" s="762"/>
      <c r="G153" s="193"/>
      <c r="H153" s="555">
        <f>IF(Consolidado_A!$G$133&gt;=7.6%,-(0.0165+0.076)*F153,0)</f>
        <v>0</v>
      </c>
      <c r="I153" s="193"/>
      <c r="J153" s="561">
        <f t="shared" si="6"/>
        <v>0</v>
      </c>
      <c r="K153" s="193"/>
      <c r="L153" s="561">
        <f t="shared" si="7"/>
        <v>0</v>
      </c>
      <c r="M153" s="193"/>
      <c r="N153" s="561">
        <f t="shared" si="8"/>
        <v>0</v>
      </c>
    </row>
    <row r="154" spans="2:14" hidden="1">
      <c r="B154" s="745">
        <v>142</v>
      </c>
      <c r="C154" s="759"/>
      <c r="D154" s="760"/>
      <c r="E154" s="761"/>
      <c r="F154" s="762"/>
      <c r="G154" s="193"/>
      <c r="H154" s="555">
        <f>IF(Consolidado_A!$G$133&gt;=7.6%,-(0.0165+0.076)*F154,0)</f>
        <v>0</v>
      </c>
      <c r="I154" s="193"/>
      <c r="J154" s="561">
        <f t="shared" si="6"/>
        <v>0</v>
      </c>
      <c r="K154" s="193"/>
      <c r="L154" s="561">
        <f t="shared" si="7"/>
        <v>0</v>
      </c>
      <c r="M154" s="193"/>
      <c r="N154" s="561">
        <f t="shared" si="8"/>
        <v>0</v>
      </c>
    </row>
    <row r="155" spans="2:14" hidden="1">
      <c r="B155" s="745">
        <v>143</v>
      </c>
      <c r="C155" s="759"/>
      <c r="D155" s="760"/>
      <c r="E155" s="761"/>
      <c r="F155" s="762"/>
      <c r="G155" s="193"/>
      <c r="H155" s="555">
        <f>IF(Consolidado_A!$G$133&gt;=7.6%,-(0.0165+0.076)*F155,0)</f>
        <v>0</v>
      </c>
      <c r="I155" s="193"/>
      <c r="J155" s="561">
        <f t="shared" si="6"/>
        <v>0</v>
      </c>
      <c r="K155" s="193"/>
      <c r="L155" s="561">
        <f t="shared" si="7"/>
        <v>0</v>
      </c>
      <c r="M155" s="193"/>
      <c r="N155" s="561">
        <f t="shared" si="8"/>
        <v>0</v>
      </c>
    </row>
    <row r="156" spans="2:14" hidden="1">
      <c r="B156" s="745">
        <v>144</v>
      </c>
      <c r="C156" s="759"/>
      <c r="D156" s="760"/>
      <c r="E156" s="761"/>
      <c r="F156" s="762"/>
      <c r="G156" s="193"/>
      <c r="H156" s="555">
        <f>IF(Consolidado_A!$G$133&gt;=7.6%,-(0.0165+0.076)*F156,0)</f>
        <v>0</v>
      </c>
      <c r="I156" s="193"/>
      <c r="J156" s="561">
        <f t="shared" si="6"/>
        <v>0</v>
      </c>
      <c r="K156" s="193"/>
      <c r="L156" s="561">
        <f t="shared" si="7"/>
        <v>0</v>
      </c>
      <c r="M156" s="193"/>
      <c r="N156" s="561">
        <f t="shared" si="8"/>
        <v>0</v>
      </c>
    </row>
    <row r="157" spans="2:14" hidden="1">
      <c r="B157" s="745">
        <v>145</v>
      </c>
      <c r="C157" s="759"/>
      <c r="D157" s="760"/>
      <c r="E157" s="761"/>
      <c r="F157" s="762"/>
      <c r="G157" s="193"/>
      <c r="H157" s="555">
        <f>IF(Consolidado_A!$G$133&gt;=7.6%,-(0.0165+0.076)*F157,0)</f>
        <v>0</v>
      </c>
      <c r="I157" s="193"/>
      <c r="J157" s="561">
        <f t="shared" si="6"/>
        <v>0</v>
      </c>
      <c r="K157" s="193"/>
      <c r="L157" s="561">
        <f t="shared" si="7"/>
        <v>0</v>
      </c>
      <c r="M157" s="193"/>
      <c r="N157" s="561">
        <f t="shared" si="8"/>
        <v>0</v>
      </c>
    </row>
    <row r="158" spans="2:14" hidden="1">
      <c r="B158" s="745">
        <v>146</v>
      </c>
      <c r="C158" s="759"/>
      <c r="D158" s="760"/>
      <c r="E158" s="761"/>
      <c r="F158" s="762"/>
      <c r="G158" s="193"/>
      <c r="H158" s="555">
        <f>IF(Consolidado_A!$G$133&gt;=7.6%,-(0.0165+0.076)*F158,0)</f>
        <v>0</v>
      </c>
      <c r="I158" s="193"/>
      <c r="J158" s="561">
        <f t="shared" si="6"/>
        <v>0</v>
      </c>
      <c r="K158" s="193"/>
      <c r="L158" s="561">
        <f t="shared" si="7"/>
        <v>0</v>
      </c>
      <c r="M158" s="193"/>
      <c r="N158" s="561">
        <f t="shared" si="8"/>
        <v>0</v>
      </c>
    </row>
    <row r="159" spans="2:14" hidden="1">
      <c r="B159" s="745">
        <v>147</v>
      </c>
      <c r="C159" s="759"/>
      <c r="D159" s="760"/>
      <c r="E159" s="761"/>
      <c r="F159" s="762"/>
      <c r="G159" s="193"/>
      <c r="H159" s="555">
        <f>IF(Consolidado_A!$G$133&gt;=7.6%,-(0.0165+0.076)*F159,0)</f>
        <v>0</v>
      </c>
      <c r="I159" s="193"/>
      <c r="J159" s="561">
        <f t="shared" si="6"/>
        <v>0</v>
      </c>
      <c r="K159" s="193"/>
      <c r="L159" s="561">
        <f t="shared" si="7"/>
        <v>0</v>
      </c>
      <c r="M159" s="193"/>
      <c r="N159" s="561">
        <f t="shared" si="8"/>
        <v>0</v>
      </c>
    </row>
    <row r="160" spans="2:14" hidden="1">
      <c r="B160" s="745">
        <v>148</v>
      </c>
      <c r="C160" s="759"/>
      <c r="D160" s="760"/>
      <c r="E160" s="761"/>
      <c r="F160" s="762"/>
      <c r="G160" s="193"/>
      <c r="H160" s="555">
        <f>IF(Consolidado_A!$G$133&gt;=7.6%,-(0.0165+0.076)*F160,0)</f>
        <v>0</v>
      </c>
      <c r="I160" s="193"/>
      <c r="J160" s="561">
        <f t="shared" si="6"/>
        <v>0</v>
      </c>
      <c r="K160" s="193"/>
      <c r="L160" s="561">
        <f t="shared" si="7"/>
        <v>0</v>
      </c>
      <c r="M160" s="193"/>
      <c r="N160" s="561">
        <f t="shared" si="8"/>
        <v>0</v>
      </c>
    </row>
    <row r="161" spans="2:14" hidden="1">
      <c r="B161" s="745">
        <v>149</v>
      </c>
      <c r="C161" s="759"/>
      <c r="D161" s="760"/>
      <c r="E161" s="761"/>
      <c r="F161" s="762"/>
      <c r="G161" s="193"/>
      <c r="H161" s="555">
        <f>IF(Consolidado_A!$G$133&gt;=7.6%,-(0.0165+0.076)*F161,0)</f>
        <v>0</v>
      </c>
      <c r="I161" s="193"/>
      <c r="J161" s="561">
        <f t="shared" si="6"/>
        <v>0</v>
      </c>
      <c r="K161" s="193"/>
      <c r="L161" s="561">
        <f t="shared" si="7"/>
        <v>0</v>
      </c>
      <c r="M161" s="193"/>
      <c r="N161" s="561">
        <f t="shared" si="8"/>
        <v>0</v>
      </c>
    </row>
    <row r="162" spans="2:14" hidden="1">
      <c r="B162" s="745">
        <v>150</v>
      </c>
      <c r="C162" s="759"/>
      <c r="D162" s="760"/>
      <c r="E162" s="761"/>
      <c r="F162" s="762"/>
      <c r="G162" s="193"/>
      <c r="H162" s="555">
        <f>IF(Consolidado_A!$G$133&gt;=7.6%,-(0.0165+0.076)*F162,0)</f>
        <v>0</v>
      </c>
      <c r="I162" s="193"/>
      <c r="J162" s="561">
        <f t="shared" si="6"/>
        <v>0</v>
      </c>
      <c r="K162" s="193"/>
      <c r="L162" s="561">
        <f t="shared" si="7"/>
        <v>0</v>
      </c>
      <c r="M162" s="193"/>
      <c r="N162" s="561">
        <f t="shared" si="8"/>
        <v>0</v>
      </c>
    </row>
    <row r="163" spans="2:14" hidden="1">
      <c r="B163" s="745">
        <v>151</v>
      </c>
      <c r="C163" s="759"/>
      <c r="D163" s="760"/>
      <c r="E163" s="761"/>
      <c r="F163" s="762"/>
      <c r="G163" s="193"/>
      <c r="H163" s="555">
        <f>IF(Consolidado_A!$G$133&gt;=7.6%,-(0.0165+0.076)*F163,0)</f>
        <v>0</v>
      </c>
      <c r="I163" s="193"/>
      <c r="J163" s="561">
        <f t="shared" si="6"/>
        <v>0</v>
      </c>
      <c r="K163" s="193"/>
      <c r="L163" s="561">
        <f t="shared" si="7"/>
        <v>0</v>
      </c>
      <c r="M163" s="193"/>
      <c r="N163" s="561">
        <f t="shared" si="8"/>
        <v>0</v>
      </c>
    </row>
    <row r="164" spans="2:14" hidden="1">
      <c r="B164" s="745">
        <v>152</v>
      </c>
      <c r="C164" s="759"/>
      <c r="D164" s="760"/>
      <c r="E164" s="761"/>
      <c r="F164" s="762"/>
      <c r="G164" s="193"/>
      <c r="H164" s="555">
        <f>IF(Consolidado_A!$G$133&gt;=7.6%,-(0.0165+0.076)*F164,0)</f>
        <v>0</v>
      </c>
      <c r="I164" s="193"/>
      <c r="J164" s="561">
        <f t="shared" si="6"/>
        <v>0</v>
      </c>
      <c r="K164" s="193"/>
      <c r="L164" s="561">
        <f t="shared" si="7"/>
        <v>0</v>
      </c>
      <c r="M164" s="193"/>
      <c r="N164" s="561">
        <f t="shared" si="8"/>
        <v>0</v>
      </c>
    </row>
    <row r="165" spans="2:14" hidden="1">
      <c r="B165" s="745">
        <v>153</v>
      </c>
      <c r="C165" s="759"/>
      <c r="D165" s="760"/>
      <c r="E165" s="761"/>
      <c r="F165" s="762"/>
      <c r="G165" s="193"/>
      <c r="H165" s="555">
        <f>IF(Consolidado_A!$G$133&gt;=7.6%,-(0.0165+0.076)*F165,0)</f>
        <v>0</v>
      </c>
      <c r="I165" s="193"/>
      <c r="J165" s="561">
        <f t="shared" si="6"/>
        <v>0</v>
      </c>
      <c r="K165" s="193"/>
      <c r="L165" s="561">
        <f t="shared" si="7"/>
        <v>0</v>
      </c>
      <c r="M165" s="193"/>
      <c r="N165" s="561">
        <f t="shared" si="8"/>
        <v>0</v>
      </c>
    </row>
    <row r="166" spans="2:14" hidden="1">
      <c r="B166" s="745">
        <v>154</v>
      </c>
      <c r="C166" s="759"/>
      <c r="D166" s="760"/>
      <c r="E166" s="761"/>
      <c r="F166" s="762"/>
      <c r="G166" s="193"/>
      <c r="H166" s="555">
        <f>IF(Consolidado_A!$G$133&gt;=7.6%,-(0.0165+0.076)*F166,0)</f>
        <v>0</v>
      </c>
      <c r="I166" s="193"/>
      <c r="J166" s="561">
        <f t="shared" si="6"/>
        <v>0</v>
      </c>
      <c r="K166" s="193"/>
      <c r="L166" s="561">
        <f t="shared" si="7"/>
        <v>0</v>
      </c>
      <c r="M166" s="193"/>
      <c r="N166" s="561">
        <f t="shared" si="8"/>
        <v>0</v>
      </c>
    </row>
    <row r="167" spans="2:14" hidden="1">
      <c r="B167" s="745">
        <v>155</v>
      </c>
      <c r="C167" s="759"/>
      <c r="D167" s="760"/>
      <c r="E167" s="761"/>
      <c r="F167" s="762"/>
      <c r="G167" s="193"/>
      <c r="H167" s="555">
        <f>IF(Consolidado_A!$G$133&gt;=7.6%,-(0.0165+0.076)*F167,0)</f>
        <v>0</v>
      </c>
      <c r="I167" s="193"/>
      <c r="J167" s="561">
        <f t="shared" si="6"/>
        <v>0</v>
      </c>
      <c r="K167" s="193"/>
      <c r="L167" s="561">
        <f t="shared" si="7"/>
        <v>0</v>
      </c>
      <c r="M167" s="193"/>
      <c r="N167" s="561">
        <f t="shared" si="8"/>
        <v>0</v>
      </c>
    </row>
    <row r="168" spans="2:14" hidden="1">
      <c r="B168" s="745">
        <v>156</v>
      </c>
      <c r="C168" s="759"/>
      <c r="D168" s="760"/>
      <c r="E168" s="761"/>
      <c r="F168" s="762"/>
      <c r="G168" s="193"/>
      <c r="H168" s="555">
        <f>IF(Consolidado_A!$G$133&gt;=7.6%,-(0.0165+0.076)*F168,0)</f>
        <v>0</v>
      </c>
      <c r="I168" s="193"/>
      <c r="J168" s="561">
        <f t="shared" si="6"/>
        <v>0</v>
      </c>
      <c r="K168" s="193"/>
      <c r="L168" s="561">
        <f t="shared" si="7"/>
        <v>0</v>
      </c>
      <c r="M168" s="193"/>
      <c r="N168" s="561">
        <f t="shared" si="8"/>
        <v>0</v>
      </c>
    </row>
    <row r="169" spans="2:14" hidden="1">
      <c r="B169" s="745">
        <v>157</v>
      </c>
      <c r="C169" s="759"/>
      <c r="D169" s="760"/>
      <c r="E169" s="761"/>
      <c r="F169" s="762"/>
      <c r="G169" s="193"/>
      <c r="H169" s="555">
        <f>IF(Consolidado_A!$G$133&gt;=7.6%,-(0.0165+0.076)*F169,0)</f>
        <v>0</v>
      </c>
      <c r="I169" s="193"/>
      <c r="J169" s="561">
        <f t="shared" si="6"/>
        <v>0</v>
      </c>
      <c r="K169" s="193"/>
      <c r="L169" s="561">
        <f t="shared" si="7"/>
        <v>0</v>
      </c>
      <c r="M169" s="193"/>
      <c r="N169" s="561">
        <f t="shared" si="8"/>
        <v>0</v>
      </c>
    </row>
    <row r="170" spans="2:14" hidden="1">
      <c r="B170" s="745">
        <v>158</v>
      </c>
      <c r="C170" s="759"/>
      <c r="D170" s="760"/>
      <c r="E170" s="761"/>
      <c r="F170" s="762"/>
      <c r="G170" s="193"/>
      <c r="H170" s="555">
        <f>IF(Consolidado_A!$G$133&gt;=7.6%,-(0.0165+0.076)*F170,0)</f>
        <v>0</v>
      </c>
      <c r="I170" s="193"/>
      <c r="J170" s="561">
        <f t="shared" si="6"/>
        <v>0</v>
      </c>
      <c r="K170" s="193"/>
      <c r="L170" s="561">
        <f t="shared" si="7"/>
        <v>0</v>
      </c>
      <c r="M170" s="193"/>
      <c r="N170" s="561">
        <f t="shared" si="8"/>
        <v>0</v>
      </c>
    </row>
    <row r="171" spans="2:14" hidden="1">
      <c r="B171" s="745">
        <v>159</v>
      </c>
      <c r="C171" s="759"/>
      <c r="D171" s="760"/>
      <c r="E171" s="761"/>
      <c r="F171" s="762"/>
      <c r="G171" s="193"/>
      <c r="H171" s="555">
        <f>IF(Consolidado_A!$G$133&gt;=7.6%,-(0.0165+0.076)*F171,0)</f>
        <v>0</v>
      </c>
      <c r="I171" s="193"/>
      <c r="J171" s="561">
        <f t="shared" si="6"/>
        <v>0</v>
      </c>
      <c r="K171" s="193"/>
      <c r="L171" s="561">
        <f t="shared" si="7"/>
        <v>0</v>
      </c>
      <c r="M171" s="193"/>
      <c r="N171" s="561">
        <f t="shared" si="8"/>
        <v>0</v>
      </c>
    </row>
    <row r="172" spans="2:14" hidden="1">
      <c r="B172" s="745">
        <v>160</v>
      </c>
      <c r="C172" s="759"/>
      <c r="D172" s="760"/>
      <c r="E172" s="761"/>
      <c r="F172" s="762"/>
      <c r="G172" s="193"/>
      <c r="H172" s="555">
        <f>IF(Consolidado_A!$G$133&gt;=7.6%,-(0.0165+0.076)*F172,0)</f>
        <v>0</v>
      </c>
      <c r="I172" s="193"/>
      <c r="J172" s="561">
        <f t="shared" si="6"/>
        <v>0</v>
      </c>
      <c r="K172" s="193"/>
      <c r="L172" s="561">
        <f t="shared" si="7"/>
        <v>0</v>
      </c>
      <c r="M172" s="193"/>
      <c r="N172" s="561">
        <f t="shared" si="8"/>
        <v>0</v>
      </c>
    </row>
    <row r="173" spans="2:14" hidden="1">
      <c r="B173" s="745">
        <v>161</v>
      </c>
      <c r="C173" s="759"/>
      <c r="D173" s="760"/>
      <c r="E173" s="761"/>
      <c r="F173" s="762"/>
      <c r="G173" s="193"/>
      <c r="H173" s="555">
        <f>IF(Consolidado_A!$G$133&gt;=7.6%,-(0.0165+0.076)*F173,0)</f>
        <v>0</v>
      </c>
      <c r="I173" s="193"/>
      <c r="J173" s="561">
        <f t="shared" si="6"/>
        <v>0</v>
      </c>
      <c r="K173" s="193"/>
      <c r="L173" s="561">
        <f t="shared" si="7"/>
        <v>0</v>
      </c>
      <c r="M173" s="193"/>
      <c r="N173" s="561">
        <f t="shared" si="8"/>
        <v>0</v>
      </c>
    </row>
    <row r="174" spans="2:14" hidden="1">
      <c r="B174" s="745">
        <v>162</v>
      </c>
      <c r="C174" s="759"/>
      <c r="D174" s="760"/>
      <c r="E174" s="761"/>
      <c r="F174" s="762"/>
      <c r="G174" s="193"/>
      <c r="H174" s="555">
        <f>IF(Consolidado_A!$G$133&gt;=7.6%,-(0.0165+0.076)*F174,0)</f>
        <v>0</v>
      </c>
      <c r="I174" s="193"/>
      <c r="J174" s="561">
        <f t="shared" si="6"/>
        <v>0</v>
      </c>
      <c r="K174" s="193"/>
      <c r="L174" s="561">
        <f t="shared" si="7"/>
        <v>0</v>
      </c>
      <c r="M174" s="193"/>
      <c r="N174" s="561">
        <f t="shared" si="8"/>
        <v>0</v>
      </c>
    </row>
    <row r="175" spans="2:14" hidden="1">
      <c r="B175" s="745">
        <v>163</v>
      </c>
      <c r="C175" s="759"/>
      <c r="D175" s="760"/>
      <c r="E175" s="761"/>
      <c r="F175" s="762"/>
      <c r="G175" s="193"/>
      <c r="H175" s="555">
        <f>IF(Consolidado_A!$G$133&gt;=7.6%,-(0.0165+0.076)*F175,0)</f>
        <v>0</v>
      </c>
      <c r="I175" s="193"/>
      <c r="J175" s="561">
        <f t="shared" si="6"/>
        <v>0</v>
      </c>
      <c r="K175" s="193"/>
      <c r="L175" s="561">
        <f t="shared" si="7"/>
        <v>0</v>
      </c>
      <c r="M175" s="193"/>
      <c r="N175" s="561">
        <f t="shared" si="8"/>
        <v>0</v>
      </c>
    </row>
    <row r="176" spans="2:14" hidden="1">
      <c r="B176" s="745">
        <v>164</v>
      </c>
      <c r="C176" s="759"/>
      <c r="D176" s="760"/>
      <c r="E176" s="761"/>
      <c r="F176" s="762"/>
      <c r="G176" s="193"/>
      <c r="H176" s="555">
        <f>IF(Consolidado_A!$G$133&gt;=7.6%,-(0.0165+0.076)*F176,0)</f>
        <v>0</v>
      </c>
      <c r="I176" s="193"/>
      <c r="J176" s="561">
        <f t="shared" si="6"/>
        <v>0</v>
      </c>
      <c r="K176" s="193"/>
      <c r="L176" s="561">
        <f t="shared" si="7"/>
        <v>0</v>
      </c>
      <c r="M176" s="193"/>
      <c r="N176" s="561">
        <f t="shared" si="8"/>
        <v>0</v>
      </c>
    </row>
    <row r="177" spans="2:14" hidden="1">
      <c r="B177" s="745">
        <v>165</v>
      </c>
      <c r="C177" s="759"/>
      <c r="D177" s="760"/>
      <c r="E177" s="761"/>
      <c r="F177" s="762"/>
      <c r="G177" s="193"/>
      <c r="H177" s="555">
        <f>IF(Consolidado_A!$G$133&gt;=7.6%,-(0.0165+0.076)*F177,0)</f>
        <v>0</v>
      </c>
      <c r="I177" s="193"/>
      <c r="J177" s="561">
        <f t="shared" si="6"/>
        <v>0</v>
      </c>
      <c r="K177" s="193"/>
      <c r="L177" s="561">
        <f t="shared" si="7"/>
        <v>0</v>
      </c>
      <c r="M177" s="193"/>
      <c r="N177" s="561">
        <f t="shared" si="8"/>
        <v>0</v>
      </c>
    </row>
    <row r="178" spans="2:14" hidden="1">
      <c r="B178" s="745">
        <v>166</v>
      </c>
      <c r="C178" s="759"/>
      <c r="D178" s="760"/>
      <c r="E178" s="761"/>
      <c r="F178" s="762"/>
      <c r="G178" s="193"/>
      <c r="H178" s="555">
        <f>IF(Consolidado_A!$G$133&gt;=7.6%,-(0.0165+0.076)*F178,0)</f>
        <v>0</v>
      </c>
      <c r="I178" s="193"/>
      <c r="J178" s="561">
        <f t="shared" si="6"/>
        <v>0</v>
      </c>
      <c r="K178" s="193"/>
      <c r="L178" s="561">
        <f t="shared" si="7"/>
        <v>0</v>
      </c>
      <c r="M178" s="193"/>
      <c r="N178" s="561">
        <f t="shared" si="8"/>
        <v>0</v>
      </c>
    </row>
    <row r="179" spans="2:14" hidden="1">
      <c r="B179" s="745">
        <v>167</v>
      </c>
      <c r="C179" s="759"/>
      <c r="D179" s="760"/>
      <c r="E179" s="761"/>
      <c r="F179" s="762"/>
      <c r="G179" s="193"/>
      <c r="H179" s="555">
        <f>IF(Consolidado_A!$G$133&gt;=7.6%,-(0.0165+0.076)*F179,0)</f>
        <v>0</v>
      </c>
      <c r="I179" s="193"/>
      <c r="J179" s="561">
        <f t="shared" si="6"/>
        <v>0</v>
      </c>
      <c r="K179" s="193"/>
      <c r="L179" s="561">
        <f t="shared" si="7"/>
        <v>0</v>
      </c>
      <c r="M179" s="193"/>
      <c r="N179" s="561">
        <f t="shared" si="8"/>
        <v>0</v>
      </c>
    </row>
    <row r="180" spans="2:14" hidden="1">
      <c r="B180" s="745">
        <v>168</v>
      </c>
      <c r="C180" s="759"/>
      <c r="D180" s="760"/>
      <c r="E180" s="761"/>
      <c r="F180" s="762"/>
      <c r="G180" s="193"/>
      <c r="H180" s="555">
        <f>IF(Consolidado_A!$G$133&gt;=7.6%,-(0.0165+0.076)*F180,0)</f>
        <v>0</v>
      </c>
      <c r="I180" s="193"/>
      <c r="J180" s="561">
        <f t="shared" si="6"/>
        <v>0</v>
      </c>
      <c r="K180" s="193"/>
      <c r="L180" s="561">
        <f t="shared" si="7"/>
        <v>0</v>
      </c>
      <c r="M180" s="193"/>
      <c r="N180" s="561">
        <f t="shared" si="8"/>
        <v>0</v>
      </c>
    </row>
    <row r="181" spans="2:14" hidden="1">
      <c r="B181" s="745">
        <v>169</v>
      </c>
      <c r="C181" s="759"/>
      <c r="D181" s="760"/>
      <c r="E181" s="761"/>
      <c r="F181" s="762"/>
      <c r="G181" s="193"/>
      <c r="H181" s="555">
        <f>IF(Consolidado_A!$G$133&gt;=7.6%,-(0.0165+0.076)*F181,0)</f>
        <v>0</v>
      </c>
      <c r="I181" s="193"/>
      <c r="J181" s="561">
        <f t="shared" si="6"/>
        <v>0</v>
      </c>
      <c r="K181" s="193"/>
      <c r="L181" s="561">
        <f t="shared" si="7"/>
        <v>0</v>
      </c>
      <c r="M181" s="193"/>
      <c r="N181" s="561">
        <f t="shared" si="8"/>
        <v>0</v>
      </c>
    </row>
    <row r="182" spans="2:14" hidden="1">
      <c r="B182" s="745">
        <v>170</v>
      </c>
      <c r="C182" s="759"/>
      <c r="D182" s="760"/>
      <c r="E182" s="761"/>
      <c r="F182" s="762"/>
      <c r="G182" s="193"/>
      <c r="H182" s="555">
        <f>IF(Consolidado_A!$G$133&gt;=7.6%,-(0.0165+0.076)*F182,0)</f>
        <v>0</v>
      </c>
      <c r="I182" s="193"/>
      <c r="J182" s="561">
        <f t="shared" si="6"/>
        <v>0</v>
      </c>
      <c r="K182" s="193"/>
      <c r="L182" s="561">
        <f t="shared" si="7"/>
        <v>0</v>
      </c>
      <c r="M182" s="193"/>
      <c r="N182" s="561">
        <f t="shared" si="8"/>
        <v>0</v>
      </c>
    </row>
    <row r="183" spans="2:14" hidden="1">
      <c r="B183" s="745">
        <v>171</v>
      </c>
      <c r="C183" s="759"/>
      <c r="D183" s="760"/>
      <c r="E183" s="761"/>
      <c r="F183" s="762"/>
      <c r="G183" s="193"/>
      <c r="H183" s="555">
        <f>IF(Consolidado_A!$G$133&gt;=7.6%,-(0.0165+0.076)*F183,0)</f>
        <v>0</v>
      </c>
      <c r="I183" s="193"/>
      <c r="J183" s="561">
        <f t="shared" si="6"/>
        <v>0</v>
      </c>
      <c r="K183" s="193"/>
      <c r="L183" s="561">
        <f t="shared" si="7"/>
        <v>0</v>
      </c>
      <c r="M183" s="193"/>
      <c r="N183" s="561">
        <f t="shared" si="8"/>
        <v>0</v>
      </c>
    </row>
    <row r="184" spans="2:14" hidden="1">
      <c r="B184" s="745">
        <v>172</v>
      </c>
      <c r="C184" s="759"/>
      <c r="D184" s="760"/>
      <c r="E184" s="761"/>
      <c r="F184" s="762"/>
      <c r="G184" s="193"/>
      <c r="H184" s="555">
        <f>IF(Consolidado_A!$G$133&gt;=7.6%,-(0.0165+0.076)*F184,0)</f>
        <v>0</v>
      </c>
      <c r="I184" s="193"/>
      <c r="J184" s="561">
        <f t="shared" si="6"/>
        <v>0</v>
      </c>
      <c r="K184" s="193"/>
      <c r="L184" s="561">
        <f t="shared" si="7"/>
        <v>0</v>
      </c>
      <c r="M184" s="193"/>
      <c r="N184" s="561">
        <f t="shared" si="8"/>
        <v>0</v>
      </c>
    </row>
    <row r="185" spans="2:14" hidden="1">
      <c r="B185" s="745">
        <v>173</v>
      </c>
      <c r="C185" s="759"/>
      <c r="D185" s="760"/>
      <c r="E185" s="761"/>
      <c r="F185" s="762"/>
      <c r="G185" s="193"/>
      <c r="H185" s="555">
        <f>IF(Consolidado_A!$G$133&gt;=7.6%,-(0.0165+0.076)*F185,0)</f>
        <v>0</v>
      </c>
      <c r="I185" s="193"/>
      <c r="J185" s="561">
        <f t="shared" si="6"/>
        <v>0</v>
      </c>
      <c r="K185" s="193"/>
      <c r="L185" s="561">
        <f t="shared" si="7"/>
        <v>0</v>
      </c>
      <c r="M185" s="193"/>
      <c r="N185" s="561">
        <f t="shared" si="8"/>
        <v>0</v>
      </c>
    </row>
    <row r="186" spans="2:14" hidden="1">
      <c r="B186" s="745">
        <v>174</v>
      </c>
      <c r="C186" s="759"/>
      <c r="D186" s="760"/>
      <c r="E186" s="761"/>
      <c r="F186" s="762"/>
      <c r="G186" s="193"/>
      <c r="H186" s="555">
        <f>IF(Consolidado_A!$G$133&gt;=7.6%,-(0.0165+0.076)*F186,0)</f>
        <v>0</v>
      </c>
      <c r="I186" s="193"/>
      <c r="J186" s="561">
        <f t="shared" si="6"/>
        <v>0</v>
      </c>
      <c r="K186" s="193"/>
      <c r="L186" s="561">
        <f t="shared" si="7"/>
        <v>0</v>
      </c>
      <c r="M186" s="193"/>
      <c r="N186" s="561">
        <f t="shared" si="8"/>
        <v>0</v>
      </c>
    </row>
    <row r="187" spans="2:14" hidden="1">
      <c r="B187" s="745">
        <v>175</v>
      </c>
      <c r="C187" s="759"/>
      <c r="D187" s="760"/>
      <c r="E187" s="761"/>
      <c r="F187" s="762"/>
      <c r="G187" s="193"/>
      <c r="H187" s="555">
        <f>IF(Consolidado_A!$G$133&gt;=7.6%,-(0.0165+0.076)*F187,0)</f>
        <v>0</v>
      </c>
      <c r="I187" s="193"/>
      <c r="J187" s="561">
        <f t="shared" si="6"/>
        <v>0</v>
      </c>
      <c r="K187" s="193"/>
      <c r="L187" s="561">
        <f t="shared" si="7"/>
        <v>0</v>
      </c>
      <c r="M187" s="193"/>
      <c r="N187" s="561">
        <f t="shared" si="8"/>
        <v>0</v>
      </c>
    </row>
    <row r="188" spans="2:14" hidden="1">
      <c r="B188" s="745">
        <v>176</v>
      </c>
      <c r="C188" s="759"/>
      <c r="D188" s="760"/>
      <c r="E188" s="761"/>
      <c r="F188" s="762"/>
      <c r="G188" s="193"/>
      <c r="H188" s="555">
        <f>IF(Consolidado_A!$G$133&gt;=7.6%,-(0.0165+0.076)*F188,0)</f>
        <v>0</v>
      </c>
      <c r="I188" s="193"/>
      <c r="J188" s="561">
        <f t="shared" si="6"/>
        <v>0</v>
      </c>
      <c r="K188" s="193"/>
      <c r="L188" s="561">
        <f t="shared" si="7"/>
        <v>0</v>
      </c>
      <c r="M188" s="193"/>
      <c r="N188" s="561">
        <f t="shared" si="8"/>
        <v>0</v>
      </c>
    </row>
    <row r="189" spans="2:14" hidden="1">
      <c r="B189" s="745">
        <v>177</v>
      </c>
      <c r="C189" s="759"/>
      <c r="D189" s="760"/>
      <c r="E189" s="761"/>
      <c r="F189" s="762"/>
      <c r="G189" s="193"/>
      <c r="H189" s="555">
        <f>IF(Consolidado_A!$G$133&gt;=7.6%,-(0.0165+0.076)*F189,0)</f>
        <v>0</v>
      </c>
      <c r="I189" s="193"/>
      <c r="J189" s="561">
        <f t="shared" si="6"/>
        <v>0</v>
      </c>
      <c r="K189" s="193"/>
      <c r="L189" s="561">
        <f t="shared" si="7"/>
        <v>0</v>
      </c>
      <c r="M189" s="193"/>
      <c r="N189" s="561">
        <f t="shared" si="8"/>
        <v>0</v>
      </c>
    </row>
    <row r="190" spans="2:14" hidden="1">
      <c r="B190" s="745">
        <v>178</v>
      </c>
      <c r="C190" s="759"/>
      <c r="D190" s="760"/>
      <c r="E190" s="761"/>
      <c r="F190" s="762"/>
      <c r="G190" s="193"/>
      <c r="H190" s="555">
        <f>IF(Consolidado_A!$G$133&gt;=7.6%,-(0.0165+0.076)*F190,0)</f>
        <v>0</v>
      </c>
      <c r="I190" s="193"/>
      <c r="J190" s="561">
        <f t="shared" si="6"/>
        <v>0</v>
      </c>
      <c r="K190" s="193"/>
      <c r="L190" s="561">
        <f t="shared" si="7"/>
        <v>0</v>
      </c>
      <c r="M190" s="193"/>
      <c r="N190" s="561">
        <f t="shared" si="8"/>
        <v>0</v>
      </c>
    </row>
    <row r="191" spans="2:14" hidden="1">
      <c r="B191" s="745">
        <v>179</v>
      </c>
      <c r="C191" s="759"/>
      <c r="D191" s="760"/>
      <c r="E191" s="761"/>
      <c r="F191" s="762"/>
      <c r="G191" s="193"/>
      <c r="H191" s="555">
        <f>IF(Consolidado_A!$G$133&gt;=7.6%,-(0.0165+0.076)*F191,0)</f>
        <v>0</v>
      </c>
      <c r="I191" s="193"/>
      <c r="J191" s="561">
        <f t="shared" si="6"/>
        <v>0</v>
      </c>
      <c r="K191" s="193"/>
      <c r="L191" s="561">
        <f t="shared" si="7"/>
        <v>0</v>
      </c>
      <c r="M191" s="193"/>
      <c r="N191" s="561">
        <f t="shared" si="8"/>
        <v>0</v>
      </c>
    </row>
    <row r="192" spans="2:14" hidden="1">
      <c r="B192" s="745">
        <v>180</v>
      </c>
      <c r="C192" s="759"/>
      <c r="D192" s="760"/>
      <c r="E192" s="761"/>
      <c r="F192" s="762"/>
      <c r="G192" s="193"/>
      <c r="H192" s="555">
        <f>IF(Consolidado_A!$G$133&gt;=7.6%,-(0.0165+0.076)*F192,0)</f>
        <v>0</v>
      </c>
      <c r="I192" s="193"/>
      <c r="J192" s="561">
        <f t="shared" si="6"/>
        <v>0</v>
      </c>
      <c r="K192" s="193"/>
      <c r="L192" s="561">
        <f t="shared" si="7"/>
        <v>0</v>
      </c>
      <c r="M192" s="193"/>
      <c r="N192" s="561">
        <f t="shared" si="8"/>
        <v>0</v>
      </c>
    </row>
    <row r="193" spans="2:14" hidden="1">
      <c r="B193" s="745">
        <v>181</v>
      </c>
      <c r="C193" s="759"/>
      <c r="D193" s="760"/>
      <c r="E193" s="761"/>
      <c r="F193" s="762"/>
      <c r="G193" s="193"/>
      <c r="H193" s="555">
        <f>IF(Consolidado_A!$G$133&gt;=7.6%,-(0.0165+0.076)*F193,0)</f>
        <v>0</v>
      </c>
      <c r="I193" s="193"/>
      <c r="J193" s="561">
        <f t="shared" si="6"/>
        <v>0</v>
      </c>
      <c r="K193" s="193"/>
      <c r="L193" s="561">
        <f t="shared" si="7"/>
        <v>0</v>
      </c>
      <c r="M193" s="193"/>
      <c r="N193" s="561">
        <f t="shared" si="8"/>
        <v>0</v>
      </c>
    </row>
    <row r="194" spans="2:14" hidden="1">
      <c r="B194" s="745">
        <v>182</v>
      </c>
      <c r="C194" s="759"/>
      <c r="D194" s="760"/>
      <c r="E194" s="761"/>
      <c r="F194" s="762"/>
      <c r="G194" s="193"/>
      <c r="H194" s="555">
        <f>IF(Consolidado_A!$G$133&gt;=7.6%,-(0.0165+0.076)*F194,0)</f>
        <v>0</v>
      </c>
      <c r="I194" s="193"/>
      <c r="J194" s="561">
        <f t="shared" si="6"/>
        <v>0</v>
      </c>
      <c r="K194" s="193"/>
      <c r="L194" s="561">
        <f t="shared" si="7"/>
        <v>0</v>
      </c>
      <c r="M194" s="193"/>
      <c r="N194" s="561">
        <f t="shared" si="8"/>
        <v>0</v>
      </c>
    </row>
    <row r="195" spans="2:14" hidden="1">
      <c r="B195" s="745">
        <v>183</v>
      </c>
      <c r="C195" s="759"/>
      <c r="D195" s="760"/>
      <c r="E195" s="761"/>
      <c r="F195" s="762"/>
      <c r="G195" s="193"/>
      <c r="H195" s="555">
        <f>IF(Consolidado_A!$G$133&gt;=7.6%,-(0.0165+0.076)*F195,0)</f>
        <v>0</v>
      </c>
      <c r="I195" s="193"/>
      <c r="J195" s="561">
        <f t="shared" si="6"/>
        <v>0</v>
      </c>
      <c r="K195" s="193"/>
      <c r="L195" s="561">
        <f t="shared" si="7"/>
        <v>0</v>
      </c>
      <c r="M195" s="193"/>
      <c r="N195" s="561">
        <f t="shared" si="8"/>
        <v>0</v>
      </c>
    </row>
    <row r="196" spans="2:14" hidden="1">
      <c r="B196" s="745">
        <v>184</v>
      </c>
      <c r="C196" s="759"/>
      <c r="D196" s="760"/>
      <c r="E196" s="761"/>
      <c r="F196" s="762"/>
      <c r="G196" s="193"/>
      <c r="H196" s="555">
        <f>IF(Consolidado_A!$G$133&gt;=7.6%,-(0.0165+0.076)*F196,0)</f>
        <v>0</v>
      </c>
      <c r="I196" s="193"/>
      <c r="J196" s="561">
        <f t="shared" si="6"/>
        <v>0</v>
      </c>
      <c r="K196" s="193"/>
      <c r="L196" s="561">
        <f t="shared" si="7"/>
        <v>0</v>
      </c>
      <c r="M196" s="193"/>
      <c r="N196" s="561">
        <f t="shared" si="8"/>
        <v>0</v>
      </c>
    </row>
    <row r="197" spans="2:14" hidden="1">
      <c r="B197" s="745">
        <v>185</v>
      </c>
      <c r="C197" s="759"/>
      <c r="D197" s="760"/>
      <c r="E197" s="761"/>
      <c r="F197" s="762"/>
      <c r="G197" s="193"/>
      <c r="H197" s="555">
        <f>IF(Consolidado_A!$G$133&gt;=7.6%,-(0.0165+0.076)*F197,0)</f>
        <v>0</v>
      </c>
      <c r="I197" s="193"/>
      <c r="J197" s="561">
        <f t="shared" si="6"/>
        <v>0</v>
      </c>
      <c r="K197" s="193"/>
      <c r="L197" s="561">
        <f t="shared" si="7"/>
        <v>0</v>
      </c>
      <c r="M197" s="193"/>
      <c r="N197" s="561">
        <f t="shared" si="8"/>
        <v>0</v>
      </c>
    </row>
    <row r="198" spans="2:14" hidden="1">
      <c r="B198" s="745">
        <v>186</v>
      </c>
      <c r="C198" s="759"/>
      <c r="D198" s="760"/>
      <c r="E198" s="761"/>
      <c r="F198" s="762"/>
      <c r="G198" s="193"/>
      <c r="H198" s="555">
        <f>IF(Consolidado_A!$G$133&gt;=7.6%,-(0.0165+0.076)*F198,0)</f>
        <v>0</v>
      </c>
      <c r="I198" s="193"/>
      <c r="J198" s="561">
        <f t="shared" si="6"/>
        <v>0</v>
      </c>
      <c r="K198" s="193"/>
      <c r="L198" s="561">
        <f t="shared" si="7"/>
        <v>0</v>
      </c>
      <c r="M198" s="193"/>
      <c r="N198" s="561">
        <f t="shared" si="8"/>
        <v>0</v>
      </c>
    </row>
    <row r="199" spans="2:14" hidden="1">
      <c r="B199" s="745">
        <v>187</v>
      </c>
      <c r="C199" s="759"/>
      <c r="D199" s="760"/>
      <c r="E199" s="761"/>
      <c r="F199" s="762"/>
      <c r="G199" s="193"/>
      <c r="H199" s="555">
        <f>IF(Consolidado_A!$G$133&gt;=7.6%,-(0.0165+0.076)*F199,0)</f>
        <v>0</v>
      </c>
      <c r="I199" s="193"/>
      <c r="J199" s="561">
        <f t="shared" si="6"/>
        <v>0</v>
      </c>
      <c r="K199" s="193"/>
      <c r="L199" s="561">
        <f t="shared" si="7"/>
        <v>0</v>
      </c>
      <c r="M199" s="193"/>
      <c r="N199" s="561">
        <f t="shared" si="8"/>
        <v>0</v>
      </c>
    </row>
    <row r="200" spans="2:14" hidden="1">
      <c r="B200" s="745">
        <v>188</v>
      </c>
      <c r="C200" s="759"/>
      <c r="D200" s="760"/>
      <c r="E200" s="761"/>
      <c r="F200" s="762"/>
      <c r="G200" s="193"/>
      <c r="H200" s="555">
        <f>IF(Consolidado_A!$G$133&gt;=7.6%,-(0.0165+0.076)*F200,0)</f>
        <v>0</v>
      </c>
      <c r="I200" s="193"/>
      <c r="J200" s="561">
        <f t="shared" si="6"/>
        <v>0</v>
      </c>
      <c r="K200" s="193"/>
      <c r="L200" s="561">
        <f t="shared" si="7"/>
        <v>0</v>
      </c>
      <c r="M200" s="193"/>
      <c r="N200" s="561">
        <f t="shared" si="8"/>
        <v>0</v>
      </c>
    </row>
    <row r="201" spans="2:14" hidden="1">
      <c r="B201" s="745">
        <v>189</v>
      </c>
      <c r="C201" s="759"/>
      <c r="D201" s="760"/>
      <c r="E201" s="761"/>
      <c r="F201" s="762"/>
      <c r="G201" s="193"/>
      <c r="H201" s="555">
        <f>IF(Consolidado_A!$G$133&gt;=7.6%,-(0.0165+0.076)*F201,0)</f>
        <v>0</v>
      </c>
      <c r="I201" s="193"/>
      <c r="J201" s="561">
        <f t="shared" si="6"/>
        <v>0</v>
      </c>
      <c r="K201" s="193"/>
      <c r="L201" s="561">
        <f t="shared" si="7"/>
        <v>0</v>
      </c>
      <c r="M201" s="193"/>
      <c r="N201" s="561">
        <f t="shared" si="8"/>
        <v>0</v>
      </c>
    </row>
    <row r="202" spans="2:14" hidden="1">
      <c r="B202" s="745">
        <v>190</v>
      </c>
      <c r="C202" s="759"/>
      <c r="D202" s="760"/>
      <c r="E202" s="761"/>
      <c r="F202" s="762"/>
      <c r="G202" s="193"/>
      <c r="H202" s="555">
        <f>IF(Consolidado_A!$G$133&gt;=7.6%,-(0.0165+0.076)*F202,0)</f>
        <v>0</v>
      </c>
      <c r="I202" s="193"/>
      <c r="J202" s="561">
        <f t="shared" si="6"/>
        <v>0</v>
      </c>
      <c r="K202" s="193"/>
      <c r="L202" s="561">
        <f t="shared" si="7"/>
        <v>0</v>
      </c>
      <c r="M202" s="193"/>
      <c r="N202" s="561">
        <f t="shared" si="8"/>
        <v>0</v>
      </c>
    </row>
    <row r="203" spans="2:14" hidden="1">
      <c r="B203" s="745">
        <v>191</v>
      </c>
      <c r="C203" s="759"/>
      <c r="D203" s="760"/>
      <c r="E203" s="761"/>
      <c r="F203" s="762"/>
      <c r="G203" s="193"/>
      <c r="H203" s="555">
        <f>IF(Consolidado_A!$G$133&gt;=7.6%,-(0.0165+0.076)*F203,0)</f>
        <v>0</v>
      </c>
      <c r="I203" s="193"/>
      <c r="J203" s="561">
        <f t="shared" si="6"/>
        <v>0</v>
      </c>
      <c r="K203" s="193"/>
      <c r="L203" s="561">
        <f t="shared" si="7"/>
        <v>0</v>
      </c>
      <c r="M203" s="193"/>
      <c r="N203" s="561">
        <f t="shared" si="8"/>
        <v>0</v>
      </c>
    </row>
    <row r="204" spans="2:14" hidden="1">
      <c r="B204" s="745">
        <v>192</v>
      </c>
      <c r="C204" s="759"/>
      <c r="D204" s="760"/>
      <c r="E204" s="761"/>
      <c r="F204" s="762"/>
      <c r="G204" s="193"/>
      <c r="H204" s="555">
        <f>IF(Consolidado_A!$G$133&gt;=7.6%,-(0.0165+0.076)*F204,0)</f>
        <v>0</v>
      </c>
      <c r="I204" s="193"/>
      <c r="J204" s="561">
        <f t="shared" si="6"/>
        <v>0</v>
      </c>
      <c r="K204" s="193"/>
      <c r="L204" s="561">
        <f t="shared" si="7"/>
        <v>0</v>
      </c>
      <c r="M204" s="193"/>
      <c r="N204" s="561">
        <f t="shared" si="8"/>
        <v>0</v>
      </c>
    </row>
    <row r="205" spans="2:14" hidden="1">
      <c r="B205" s="745">
        <v>193</v>
      </c>
      <c r="C205" s="759"/>
      <c r="D205" s="760"/>
      <c r="E205" s="761"/>
      <c r="F205" s="762"/>
      <c r="G205" s="193"/>
      <c r="H205" s="555">
        <f>IF(Consolidado_A!$G$133&gt;=7.6%,-(0.0165+0.076)*F205,0)</f>
        <v>0</v>
      </c>
      <c r="I205" s="193"/>
      <c r="J205" s="561">
        <f t="shared" ref="J205:J268" si="9">F205+H205</f>
        <v>0</v>
      </c>
      <c r="K205" s="193"/>
      <c r="L205" s="561">
        <f t="shared" ref="L205:L268" si="10">J205*E205</f>
        <v>0</v>
      </c>
      <c r="M205" s="193"/>
      <c r="N205" s="561">
        <f t="shared" ref="N205:N268" si="11">L205*12</f>
        <v>0</v>
      </c>
    </row>
    <row r="206" spans="2:14" hidden="1">
      <c r="B206" s="745">
        <v>194</v>
      </c>
      <c r="C206" s="759"/>
      <c r="D206" s="760"/>
      <c r="E206" s="761"/>
      <c r="F206" s="762"/>
      <c r="G206" s="193"/>
      <c r="H206" s="555">
        <f>IF(Consolidado_A!$G$133&gt;=7.6%,-(0.0165+0.076)*F206,0)</f>
        <v>0</v>
      </c>
      <c r="I206" s="193"/>
      <c r="J206" s="561">
        <f t="shared" si="9"/>
        <v>0</v>
      </c>
      <c r="K206" s="193"/>
      <c r="L206" s="561">
        <f t="shared" si="10"/>
        <v>0</v>
      </c>
      <c r="M206" s="193"/>
      <c r="N206" s="561">
        <f t="shared" si="11"/>
        <v>0</v>
      </c>
    </row>
    <row r="207" spans="2:14" hidden="1">
      <c r="B207" s="745">
        <v>195</v>
      </c>
      <c r="C207" s="759"/>
      <c r="D207" s="760"/>
      <c r="E207" s="761"/>
      <c r="F207" s="762"/>
      <c r="G207" s="193"/>
      <c r="H207" s="555">
        <f>IF(Consolidado_A!$G$133&gt;=7.6%,-(0.0165+0.076)*F207,0)</f>
        <v>0</v>
      </c>
      <c r="I207" s="193"/>
      <c r="J207" s="561">
        <f t="shared" si="9"/>
        <v>0</v>
      </c>
      <c r="K207" s="193"/>
      <c r="L207" s="561">
        <f t="shared" si="10"/>
        <v>0</v>
      </c>
      <c r="M207" s="193"/>
      <c r="N207" s="561">
        <f t="shared" si="11"/>
        <v>0</v>
      </c>
    </row>
    <row r="208" spans="2:14" hidden="1">
      <c r="B208" s="745">
        <v>196</v>
      </c>
      <c r="C208" s="759"/>
      <c r="D208" s="760"/>
      <c r="E208" s="761"/>
      <c r="F208" s="762"/>
      <c r="G208" s="193"/>
      <c r="H208" s="555">
        <f>IF(Consolidado_A!$G$133&gt;=7.6%,-(0.0165+0.076)*F208,0)</f>
        <v>0</v>
      </c>
      <c r="I208" s="193"/>
      <c r="J208" s="561">
        <f t="shared" si="9"/>
        <v>0</v>
      </c>
      <c r="K208" s="193"/>
      <c r="L208" s="561">
        <f t="shared" si="10"/>
        <v>0</v>
      </c>
      <c r="M208" s="193"/>
      <c r="N208" s="561">
        <f t="shared" si="11"/>
        <v>0</v>
      </c>
    </row>
    <row r="209" spans="2:14" hidden="1">
      <c r="B209" s="745">
        <v>197</v>
      </c>
      <c r="C209" s="759"/>
      <c r="D209" s="760"/>
      <c r="E209" s="761"/>
      <c r="F209" s="762"/>
      <c r="G209" s="193"/>
      <c r="H209" s="555">
        <f>IF(Consolidado_A!$G$133&gt;=7.6%,-(0.0165+0.076)*F209,0)</f>
        <v>0</v>
      </c>
      <c r="I209" s="193"/>
      <c r="J209" s="561">
        <f t="shared" si="9"/>
        <v>0</v>
      </c>
      <c r="K209" s="193"/>
      <c r="L209" s="561">
        <f t="shared" si="10"/>
        <v>0</v>
      </c>
      <c r="M209" s="193"/>
      <c r="N209" s="561">
        <f t="shared" si="11"/>
        <v>0</v>
      </c>
    </row>
    <row r="210" spans="2:14" hidden="1">
      <c r="B210" s="745">
        <v>198</v>
      </c>
      <c r="C210" s="759"/>
      <c r="D210" s="760"/>
      <c r="E210" s="761"/>
      <c r="F210" s="762"/>
      <c r="G210" s="193"/>
      <c r="H210" s="555">
        <f>IF(Consolidado_A!$G$133&gt;=7.6%,-(0.0165+0.076)*F210,0)</f>
        <v>0</v>
      </c>
      <c r="I210" s="193"/>
      <c r="J210" s="561">
        <f t="shared" si="9"/>
        <v>0</v>
      </c>
      <c r="K210" s="193"/>
      <c r="L210" s="561">
        <f t="shared" si="10"/>
        <v>0</v>
      </c>
      <c r="M210" s="193"/>
      <c r="N210" s="561">
        <f t="shared" si="11"/>
        <v>0</v>
      </c>
    </row>
    <row r="211" spans="2:14" hidden="1">
      <c r="B211" s="745">
        <v>199</v>
      </c>
      <c r="C211" s="759"/>
      <c r="D211" s="760"/>
      <c r="E211" s="761"/>
      <c r="F211" s="762"/>
      <c r="G211" s="193"/>
      <c r="H211" s="555">
        <f>IF(Consolidado_A!$G$133&gt;=7.6%,-(0.0165+0.076)*F211,0)</f>
        <v>0</v>
      </c>
      <c r="I211" s="193"/>
      <c r="J211" s="561">
        <f t="shared" si="9"/>
        <v>0</v>
      </c>
      <c r="K211" s="193"/>
      <c r="L211" s="561">
        <f t="shared" si="10"/>
        <v>0</v>
      </c>
      <c r="M211" s="193"/>
      <c r="N211" s="561">
        <f t="shared" si="11"/>
        <v>0</v>
      </c>
    </row>
    <row r="212" spans="2:14" hidden="1">
      <c r="B212" s="745">
        <v>200</v>
      </c>
      <c r="C212" s="759"/>
      <c r="D212" s="760"/>
      <c r="E212" s="761"/>
      <c r="F212" s="762"/>
      <c r="G212" s="193"/>
      <c r="H212" s="555">
        <f>IF(Consolidado_A!$G$133&gt;=7.6%,-(0.0165+0.076)*F212,0)</f>
        <v>0</v>
      </c>
      <c r="I212" s="193"/>
      <c r="J212" s="561">
        <f t="shared" si="9"/>
        <v>0</v>
      </c>
      <c r="K212" s="193"/>
      <c r="L212" s="561">
        <f t="shared" si="10"/>
        <v>0</v>
      </c>
      <c r="M212" s="193"/>
      <c r="N212" s="561">
        <f t="shared" si="11"/>
        <v>0</v>
      </c>
    </row>
    <row r="213" spans="2:14" hidden="1">
      <c r="B213" s="745">
        <v>201</v>
      </c>
      <c r="C213" s="759"/>
      <c r="D213" s="760"/>
      <c r="E213" s="761"/>
      <c r="F213" s="762"/>
      <c r="G213" s="193"/>
      <c r="H213" s="555">
        <f>IF(Consolidado_A!$G$133&gt;=7.6%,-(0.0165+0.076)*F213,0)</f>
        <v>0</v>
      </c>
      <c r="I213" s="193"/>
      <c r="J213" s="561">
        <f t="shared" si="9"/>
        <v>0</v>
      </c>
      <c r="K213" s="193"/>
      <c r="L213" s="561">
        <f t="shared" si="10"/>
        <v>0</v>
      </c>
      <c r="M213" s="193"/>
      <c r="N213" s="561">
        <f t="shared" si="11"/>
        <v>0</v>
      </c>
    </row>
    <row r="214" spans="2:14" hidden="1">
      <c r="B214" s="745">
        <v>202</v>
      </c>
      <c r="C214" s="759"/>
      <c r="D214" s="760"/>
      <c r="E214" s="761"/>
      <c r="F214" s="762"/>
      <c r="G214" s="193"/>
      <c r="H214" s="555">
        <f>IF(Consolidado_A!$G$133&gt;=7.6%,-(0.0165+0.076)*F214,0)</f>
        <v>0</v>
      </c>
      <c r="I214" s="193"/>
      <c r="J214" s="561">
        <f t="shared" si="9"/>
        <v>0</v>
      </c>
      <c r="K214" s="193"/>
      <c r="L214" s="561">
        <f t="shared" si="10"/>
        <v>0</v>
      </c>
      <c r="M214" s="193"/>
      <c r="N214" s="561">
        <f t="shared" si="11"/>
        <v>0</v>
      </c>
    </row>
    <row r="215" spans="2:14" hidden="1">
      <c r="B215" s="745">
        <v>203</v>
      </c>
      <c r="C215" s="759"/>
      <c r="D215" s="760"/>
      <c r="E215" s="761"/>
      <c r="F215" s="762"/>
      <c r="G215" s="193"/>
      <c r="H215" s="555">
        <f>IF(Consolidado_A!$G$133&gt;=7.6%,-(0.0165+0.076)*F215,0)</f>
        <v>0</v>
      </c>
      <c r="I215" s="193"/>
      <c r="J215" s="561">
        <f t="shared" si="9"/>
        <v>0</v>
      </c>
      <c r="K215" s="193"/>
      <c r="L215" s="561">
        <f t="shared" si="10"/>
        <v>0</v>
      </c>
      <c r="M215" s="193"/>
      <c r="N215" s="561">
        <f t="shared" si="11"/>
        <v>0</v>
      </c>
    </row>
    <row r="216" spans="2:14" hidden="1">
      <c r="B216" s="745">
        <v>204</v>
      </c>
      <c r="C216" s="759"/>
      <c r="D216" s="760"/>
      <c r="E216" s="761"/>
      <c r="F216" s="762"/>
      <c r="G216" s="193"/>
      <c r="H216" s="555">
        <f>IF(Consolidado_A!$G$133&gt;=7.6%,-(0.0165+0.076)*F216,0)</f>
        <v>0</v>
      </c>
      <c r="I216" s="193"/>
      <c r="J216" s="561">
        <f t="shared" si="9"/>
        <v>0</v>
      </c>
      <c r="K216" s="193"/>
      <c r="L216" s="561">
        <f t="shared" si="10"/>
        <v>0</v>
      </c>
      <c r="M216" s="193"/>
      <c r="N216" s="561">
        <f t="shared" si="11"/>
        <v>0</v>
      </c>
    </row>
    <row r="217" spans="2:14" hidden="1">
      <c r="B217" s="745">
        <v>205</v>
      </c>
      <c r="C217" s="759"/>
      <c r="D217" s="760"/>
      <c r="E217" s="761"/>
      <c r="F217" s="762"/>
      <c r="G217" s="193"/>
      <c r="H217" s="555">
        <f>IF(Consolidado_A!$G$133&gt;=7.6%,-(0.0165+0.076)*F217,0)</f>
        <v>0</v>
      </c>
      <c r="I217" s="193"/>
      <c r="J217" s="561">
        <f t="shared" si="9"/>
        <v>0</v>
      </c>
      <c r="K217" s="193"/>
      <c r="L217" s="561">
        <f t="shared" si="10"/>
        <v>0</v>
      </c>
      <c r="M217" s="193"/>
      <c r="N217" s="561">
        <f t="shared" si="11"/>
        <v>0</v>
      </c>
    </row>
    <row r="218" spans="2:14" hidden="1">
      <c r="B218" s="745">
        <v>206</v>
      </c>
      <c r="C218" s="759"/>
      <c r="D218" s="760"/>
      <c r="E218" s="761"/>
      <c r="F218" s="762"/>
      <c r="G218" s="193"/>
      <c r="H218" s="555">
        <f>IF(Consolidado_A!$G$133&gt;=7.6%,-(0.0165+0.076)*F218,0)</f>
        <v>0</v>
      </c>
      <c r="I218" s="193"/>
      <c r="J218" s="561">
        <f t="shared" si="9"/>
        <v>0</v>
      </c>
      <c r="K218" s="193"/>
      <c r="L218" s="561">
        <f t="shared" si="10"/>
        <v>0</v>
      </c>
      <c r="M218" s="193"/>
      <c r="N218" s="561">
        <f t="shared" si="11"/>
        <v>0</v>
      </c>
    </row>
    <row r="219" spans="2:14" hidden="1">
      <c r="B219" s="745">
        <v>207</v>
      </c>
      <c r="C219" s="759"/>
      <c r="D219" s="760"/>
      <c r="E219" s="761"/>
      <c r="F219" s="762"/>
      <c r="G219" s="193"/>
      <c r="H219" s="555">
        <f>IF(Consolidado_A!$G$133&gt;=7.6%,-(0.0165+0.076)*F219,0)</f>
        <v>0</v>
      </c>
      <c r="I219" s="193"/>
      <c r="J219" s="561">
        <f t="shared" si="9"/>
        <v>0</v>
      </c>
      <c r="K219" s="193"/>
      <c r="L219" s="561">
        <f t="shared" si="10"/>
        <v>0</v>
      </c>
      <c r="M219" s="193"/>
      <c r="N219" s="561">
        <f t="shared" si="11"/>
        <v>0</v>
      </c>
    </row>
    <row r="220" spans="2:14" hidden="1">
      <c r="B220" s="745">
        <v>208</v>
      </c>
      <c r="C220" s="759"/>
      <c r="D220" s="760"/>
      <c r="E220" s="761"/>
      <c r="F220" s="762"/>
      <c r="G220" s="193"/>
      <c r="H220" s="555">
        <f>IF(Consolidado_A!$G$133&gt;=7.6%,-(0.0165+0.076)*F220,0)</f>
        <v>0</v>
      </c>
      <c r="I220" s="193"/>
      <c r="J220" s="561">
        <f t="shared" si="9"/>
        <v>0</v>
      </c>
      <c r="K220" s="193"/>
      <c r="L220" s="561">
        <f t="shared" si="10"/>
        <v>0</v>
      </c>
      <c r="M220" s="193"/>
      <c r="N220" s="561">
        <f t="shared" si="11"/>
        <v>0</v>
      </c>
    </row>
    <row r="221" spans="2:14" hidden="1">
      <c r="B221" s="745">
        <v>209</v>
      </c>
      <c r="C221" s="759"/>
      <c r="D221" s="760"/>
      <c r="E221" s="761"/>
      <c r="F221" s="762"/>
      <c r="G221" s="193"/>
      <c r="H221" s="555">
        <f>IF(Consolidado_A!$G$133&gt;=7.6%,-(0.0165+0.076)*F221,0)</f>
        <v>0</v>
      </c>
      <c r="I221" s="193"/>
      <c r="J221" s="561">
        <f t="shared" si="9"/>
        <v>0</v>
      </c>
      <c r="K221" s="193"/>
      <c r="L221" s="561">
        <f t="shared" si="10"/>
        <v>0</v>
      </c>
      <c r="M221" s="193"/>
      <c r="N221" s="561">
        <f t="shared" si="11"/>
        <v>0</v>
      </c>
    </row>
    <row r="222" spans="2:14" hidden="1">
      <c r="B222" s="745">
        <v>210</v>
      </c>
      <c r="C222" s="759"/>
      <c r="D222" s="760"/>
      <c r="E222" s="761"/>
      <c r="F222" s="762"/>
      <c r="G222" s="193"/>
      <c r="H222" s="555">
        <f>IF(Consolidado_A!$G$133&gt;=7.6%,-(0.0165+0.076)*F222,0)</f>
        <v>0</v>
      </c>
      <c r="I222" s="193"/>
      <c r="J222" s="561">
        <f t="shared" si="9"/>
        <v>0</v>
      </c>
      <c r="K222" s="193"/>
      <c r="L222" s="561">
        <f t="shared" si="10"/>
        <v>0</v>
      </c>
      <c r="M222" s="193"/>
      <c r="N222" s="561">
        <f t="shared" si="11"/>
        <v>0</v>
      </c>
    </row>
    <row r="223" spans="2:14" hidden="1">
      <c r="B223" s="745">
        <v>211</v>
      </c>
      <c r="C223" s="759"/>
      <c r="D223" s="760"/>
      <c r="E223" s="761"/>
      <c r="F223" s="762"/>
      <c r="G223" s="193"/>
      <c r="H223" s="555">
        <f>IF(Consolidado_A!$G$133&gt;=7.6%,-(0.0165+0.076)*F223,0)</f>
        <v>0</v>
      </c>
      <c r="I223" s="193"/>
      <c r="J223" s="561">
        <f t="shared" si="9"/>
        <v>0</v>
      </c>
      <c r="K223" s="193"/>
      <c r="L223" s="561">
        <f t="shared" si="10"/>
        <v>0</v>
      </c>
      <c r="M223" s="193"/>
      <c r="N223" s="561">
        <f t="shared" si="11"/>
        <v>0</v>
      </c>
    </row>
    <row r="224" spans="2:14" hidden="1">
      <c r="B224" s="745">
        <v>212</v>
      </c>
      <c r="C224" s="759"/>
      <c r="D224" s="760"/>
      <c r="E224" s="761"/>
      <c r="F224" s="762"/>
      <c r="G224" s="193"/>
      <c r="H224" s="555">
        <f>IF(Consolidado_A!$G$133&gt;=7.6%,-(0.0165+0.076)*F224,0)</f>
        <v>0</v>
      </c>
      <c r="I224" s="193"/>
      <c r="J224" s="561">
        <f t="shared" si="9"/>
        <v>0</v>
      </c>
      <c r="K224" s="193"/>
      <c r="L224" s="561">
        <f t="shared" si="10"/>
        <v>0</v>
      </c>
      <c r="M224" s="193"/>
      <c r="N224" s="561">
        <f t="shared" si="11"/>
        <v>0</v>
      </c>
    </row>
    <row r="225" spans="2:14" hidden="1">
      <c r="B225" s="745">
        <v>213</v>
      </c>
      <c r="C225" s="759"/>
      <c r="D225" s="760"/>
      <c r="E225" s="761"/>
      <c r="F225" s="762"/>
      <c r="G225" s="193"/>
      <c r="H225" s="555">
        <f>IF(Consolidado_A!$G$133&gt;=7.6%,-(0.0165+0.076)*F225,0)</f>
        <v>0</v>
      </c>
      <c r="I225" s="193"/>
      <c r="J225" s="561">
        <f t="shared" si="9"/>
        <v>0</v>
      </c>
      <c r="K225" s="193"/>
      <c r="L225" s="561">
        <f t="shared" si="10"/>
        <v>0</v>
      </c>
      <c r="M225" s="193"/>
      <c r="N225" s="561">
        <f t="shared" si="11"/>
        <v>0</v>
      </c>
    </row>
    <row r="226" spans="2:14" hidden="1">
      <c r="B226" s="745">
        <v>214</v>
      </c>
      <c r="C226" s="759"/>
      <c r="D226" s="760"/>
      <c r="E226" s="761"/>
      <c r="F226" s="762"/>
      <c r="G226" s="193"/>
      <c r="H226" s="555">
        <f>IF(Consolidado_A!$G$133&gt;=7.6%,-(0.0165+0.076)*F226,0)</f>
        <v>0</v>
      </c>
      <c r="I226" s="193"/>
      <c r="J226" s="561">
        <f t="shared" si="9"/>
        <v>0</v>
      </c>
      <c r="K226" s="193"/>
      <c r="L226" s="561">
        <f t="shared" si="10"/>
        <v>0</v>
      </c>
      <c r="M226" s="193"/>
      <c r="N226" s="561">
        <f t="shared" si="11"/>
        <v>0</v>
      </c>
    </row>
    <row r="227" spans="2:14" hidden="1">
      <c r="B227" s="745">
        <v>215</v>
      </c>
      <c r="C227" s="759"/>
      <c r="D227" s="760"/>
      <c r="E227" s="761"/>
      <c r="F227" s="762"/>
      <c r="G227" s="193"/>
      <c r="H227" s="555">
        <f>IF(Consolidado_A!$G$133&gt;=7.6%,-(0.0165+0.076)*F227,0)</f>
        <v>0</v>
      </c>
      <c r="I227" s="193"/>
      <c r="J227" s="561">
        <f t="shared" si="9"/>
        <v>0</v>
      </c>
      <c r="K227" s="193"/>
      <c r="L227" s="561">
        <f t="shared" si="10"/>
        <v>0</v>
      </c>
      <c r="M227" s="193"/>
      <c r="N227" s="561">
        <f t="shared" si="11"/>
        <v>0</v>
      </c>
    </row>
    <row r="228" spans="2:14" hidden="1">
      <c r="B228" s="745">
        <v>216</v>
      </c>
      <c r="C228" s="759"/>
      <c r="D228" s="760"/>
      <c r="E228" s="761"/>
      <c r="F228" s="762"/>
      <c r="G228" s="193"/>
      <c r="H228" s="555">
        <f>IF(Consolidado_A!$G$133&gt;=7.6%,-(0.0165+0.076)*F228,0)</f>
        <v>0</v>
      </c>
      <c r="I228" s="193"/>
      <c r="J228" s="561">
        <f t="shared" si="9"/>
        <v>0</v>
      </c>
      <c r="K228" s="193"/>
      <c r="L228" s="561">
        <f t="shared" si="10"/>
        <v>0</v>
      </c>
      <c r="M228" s="193"/>
      <c r="N228" s="561">
        <f t="shared" si="11"/>
        <v>0</v>
      </c>
    </row>
    <row r="229" spans="2:14" hidden="1">
      <c r="B229" s="745">
        <v>217</v>
      </c>
      <c r="C229" s="759"/>
      <c r="D229" s="760"/>
      <c r="E229" s="761"/>
      <c r="F229" s="762"/>
      <c r="G229" s="193"/>
      <c r="H229" s="555">
        <f>IF(Consolidado_A!$G$133&gt;=7.6%,-(0.0165+0.076)*F229,0)</f>
        <v>0</v>
      </c>
      <c r="I229" s="193"/>
      <c r="J229" s="561">
        <f t="shared" si="9"/>
        <v>0</v>
      </c>
      <c r="K229" s="193"/>
      <c r="L229" s="561">
        <f t="shared" si="10"/>
        <v>0</v>
      </c>
      <c r="M229" s="193"/>
      <c r="N229" s="561">
        <f t="shared" si="11"/>
        <v>0</v>
      </c>
    </row>
    <row r="230" spans="2:14" hidden="1">
      <c r="B230" s="745">
        <v>218</v>
      </c>
      <c r="C230" s="759"/>
      <c r="D230" s="760"/>
      <c r="E230" s="761"/>
      <c r="F230" s="762"/>
      <c r="G230" s="193"/>
      <c r="H230" s="555">
        <f>IF(Consolidado_A!$G$133&gt;=7.6%,-(0.0165+0.076)*F230,0)</f>
        <v>0</v>
      </c>
      <c r="I230" s="193"/>
      <c r="J230" s="561">
        <f t="shared" si="9"/>
        <v>0</v>
      </c>
      <c r="K230" s="193"/>
      <c r="L230" s="561">
        <f t="shared" si="10"/>
        <v>0</v>
      </c>
      <c r="M230" s="193"/>
      <c r="N230" s="561">
        <f t="shared" si="11"/>
        <v>0</v>
      </c>
    </row>
    <row r="231" spans="2:14" hidden="1">
      <c r="B231" s="745">
        <v>219</v>
      </c>
      <c r="C231" s="759"/>
      <c r="D231" s="760"/>
      <c r="E231" s="761"/>
      <c r="F231" s="762"/>
      <c r="G231" s="193"/>
      <c r="H231" s="555">
        <f>IF(Consolidado_A!$G$133&gt;=7.6%,-(0.0165+0.076)*F231,0)</f>
        <v>0</v>
      </c>
      <c r="I231" s="193"/>
      <c r="J231" s="561">
        <f t="shared" si="9"/>
        <v>0</v>
      </c>
      <c r="K231" s="193"/>
      <c r="L231" s="561">
        <f t="shared" si="10"/>
        <v>0</v>
      </c>
      <c r="M231" s="193"/>
      <c r="N231" s="561">
        <f t="shared" si="11"/>
        <v>0</v>
      </c>
    </row>
    <row r="232" spans="2:14" hidden="1">
      <c r="B232" s="745">
        <v>220</v>
      </c>
      <c r="C232" s="759"/>
      <c r="D232" s="760"/>
      <c r="E232" s="761"/>
      <c r="F232" s="762"/>
      <c r="G232" s="193"/>
      <c r="H232" s="555">
        <f>IF(Consolidado_A!$G$133&gt;=7.6%,-(0.0165+0.076)*F232,0)</f>
        <v>0</v>
      </c>
      <c r="I232" s="193"/>
      <c r="J232" s="561">
        <f t="shared" si="9"/>
        <v>0</v>
      </c>
      <c r="K232" s="193"/>
      <c r="L232" s="561">
        <f t="shared" si="10"/>
        <v>0</v>
      </c>
      <c r="M232" s="193"/>
      <c r="N232" s="561">
        <f t="shared" si="11"/>
        <v>0</v>
      </c>
    </row>
    <row r="233" spans="2:14" hidden="1">
      <c r="B233" s="745">
        <v>221</v>
      </c>
      <c r="C233" s="759"/>
      <c r="D233" s="760"/>
      <c r="E233" s="761"/>
      <c r="F233" s="762"/>
      <c r="G233" s="193"/>
      <c r="H233" s="555">
        <f>IF(Consolidado_A!$G$133&gt;=7.6%,-(0.0165+0.076)*F233,0)</f>
        <v>0</v>
      </c>
      <c r="I233" s="193"/>
      <c r="J233" s="561">
        <f t="shared" si="9"/>
        <v>0</v>
      </c>
      <c r="K233" s="193"/>
      <c r="L233" s="561">
        <f t="shared" si="10"/>
        <v>0</v>
      </c>
      <c r="M233" s="193"/>
      <c r="N233" s="561">
        <f t="shared" si="11"/>
        <v>0</v>
      </c>
    </row>
    <row r="234" spans="2:14" hidden="1">
      <c r="B234" s="745">
        <v>222</v>
      </c>
      <c r="C234" s="759"/>
      <c r="D234" s="760"/>
      <c r="E234" s="761"/>
      <c r="F234" s="762"/>
      <c r="G234" s="193"/>
      <c r="H234" s="555">
        <f>IF(Consolidado_A!$G$133&gt;=7.6%,-(0.0165+0.076)*F234,0)</f>
        <v>0</v>
      </c>
      <c r="I234" s="193"/>
      <c r="J234" s="561">
        <f t="shared" si="9"/>
        <v>0</v>
      </c>
      <c r="K234" s="193"/>
      <c r="L234" s="561">
        <f t="shared" si="10"/>
        <v>0</v>
      </c>
      <c r="M234" s="193"/>
      <c r="N234" s="561">
        <f t="shared" si="11"/>
        <v>0</v>
      </c>
    </row>
    <row r="235" spans="2:14" hidden="1">
      <c r="B235" s="745">
        <v>223</v>
      </c>
      <c r="C235" s="759"/>
      <c r="D235" s="760"/>
      <c r="E235" s="761"/>
      <c r="F235" s="762"/>
      <c r="G235" s="193"/>
      <c r="H235" s="555">
        <f>IF(Consolidado_A!$G$133&gt;=7.6%,-(0.0165+0.076)*F235,0)</f>
        <v>0</v>
      </c>
      <c r="I235" s="193"/>
      <c r="J235" s="561">
        <f t="shared" si="9"/>
        <v>0</v>
      </c>
      <c r="K235" s="193"/>
      <c r="L235" s="561">
        <f t="shared" si="10"/>
        <v>0</v>
      </c>
      <c r="M235" s="193"/>
      <c r="N235" s="561">
        <f t="shared" si="11"/>
        <v>0</v>
      </c>
    </row>
    <row r="236" spans="2:14" hidden="1">
      <c r="B236" s="745">
        <v>224</v>
      </c>
      <c r="C236" s="759"/>
      <c r="D236" s="760"/>
      <c r="E236" s="761"/>
      <c r="F236" s="762"/>
      <c r="G236" s="193"/>
      <c r="H236" s="555">
        <f>IF(Consolidado_A!$G$133&gt;=7.6%,-(0.0165+0.076)*F236,0)</f>
        <v>0</v>
      </c>
      <c r="I236" s="193"/>
      <c r="J236" s="561">
        <f t="shared" si="9"/>
        <v>0</v>
      </c>
      <c r="K236" s="193"/>
      <c r="L236" s="561">
        <f t="shared" si="10"/>
        <v>0</v>
      </c>
      <c r="M236" s="193"/>
      <c r="N236" s="561">
        <f t="shared" si="11"/>
        <v>0</v>
      </c>
    </row>
    <row r="237" spans="2:14" hidden="1">
      <c r="B237" s="745">
        <v>225</v>
      </c>
      <c r="C237" s="759"/>
      <c r="D237" s="760"/>
      <c r="E237" s="761"/>
      <c r="F237" s="762"/>
      <c r="G237" s="193"/>
      <c r="H237" s="555">
        <f>IF(Consolidado_A!$G$133&gt;=7.6%,-(0.0165+0.076)*F237,0)</f>
        <v>0</v>
      </c>
      <c r="I237" s="193"/>
      <c r="J237" s="561">
        <f t="shared" si="9"/>
        <v>0</v>
      </c>
      <c r="K237" s="193"/>
      <c r="L237" s="561">
        <f t="shared" si="10"/>
        <v>0</v>
      </c>
      <c r="M237" s="193"/>
      <c r="N237" s="561">
        <f t="shared" si="11"/>
        <v>0</v>
      </c>
    </row>
    <row r="238" spans="2:14" hidden="1">
      <c r="B238" s="745">
        <v>226</v>
      </c>
      <c r="C238" s="759"/>
      <c r="D238" s="760"/>
      <c r="E238" s="761"/>
      <c r="F238" s="762"/>
      <c r="G238" s="193"/>
      <c r="H238" s="555">
        <f>IF(Consolidado_A!$G$133&gt;=7.6%,-(0.0165+0.076)*F238,0)</f>
        <v>0</v>
      </c>
      <c r="I238" s="193"/>
      <c r="J238" s="561">
        <f t="shared" si="9"/>
        <v>0</v>
      </c>
      <c r="K238" s="193"/>
      <c r="L238" s="561">
        <f t="shared" si="10"/>
        <v>0</v>
      </c>
      <c r="M238" s="193"/>
      <c r="N238" s="561">
        <f t="shared" si="11"/>
        <v>0</v>
      </c>
    </row>
    <row r="239" spans="2:14" hidden="1">
      <c r="B239" s="745">
        <v>227</v>
      </c>
      <c r="C239" s="759"/>
      <c r="D239" s="760"/>
      <c r="E239" s="761"/>
      <c r="F239" s="762"/>
      <c r="G239" s="193"/>
      <c r="H239" s="555">
        <f>IF(Consolidado_A!$G$133&gt;=7.6%,-(0.0165+0.076)*F239,0)</f>
        <v>0</v>
      </c>
      <c r="I239" s="193"/>
      <c r="J239" s="561">
        <f t="shared" si="9"/>
        <v>0</v>
      </c>
      <c r="K239" s="193"/>
      <c r="L239" s="561">
        <f t="shared" si="10"/>
        <v>0</v>
      </c>
      <c r="M239" s="193"/>
      <c r="N239" s="561">
        <f t="shared" si="11"/>
        <v>0</v>
      </c>
    </row>
    <row r="240" spans="2:14" hidden="1">
      <c r="B240" s="745">
        <v>228</v>
      </c>
      <c r="C240" s="759"/>
      <c r="D240" s="760"/>
      <c r="E240" s="761"/>
      <c r="F240" s="762"/>
      <c r="G240" s="193"/>
      <c r="H240" s="555">
        <f>IF(Consolidado_A!$G$133&gt;=7.6%,-(0.0165+0.076)*F240,0)</f>
        <v>0</v>
      </c>
      <c r="I240" s="193"/>
      <c r="J240" s="561">
        <f t="shared" si="9"/>
        <v>0</v>
      </c>
      <c r="K240" s="193"/>
      <c r="L240" s="561">
        <f t="shared" si="10"/>
        <v>0</v>
      </c>
      <c r="M240" s="193"/>
      <c r="N240" s="561">
        <f t="shared" si="11"/>
        <v>0</v>
      </c>
    </row>
    <row r="241" spans="2:14" hidden="1">
      <c r="B241" s="745">
        <v>229</v>
      </c>
      <c r="C241" s="759"/>
      <c r="D241" s="760"/>
      <c r="E241" s="761"/>
      <c r="F241" s="762"/>
      <c r="G241" s="193"/>
      <c r="H241" s="555">
        <f>IF(Consolidado_A!$G$133&gt;=7.6%,-(0.0165+0.076)*F241,0)</f>
        <v>0</v>
      </c>
      <c r="I241" s="193"/>
      <c r="J241" s="561">
        <f t="shared" si="9"/>
        <v>0</v>
      </c>
      <c r="K241" s="193"/>
      <c r="L241" s="561">
        <f t="shared" si="10"/>
        <v>0</v>
      </c>
      <c r="M241" s="193"/>
      <c r="N241" s="561">
        <f t="shared" si="11"/>
        <v>0</v>
      </c>
    </row>
    <row r="242" spans="2:14" hidden="1">
      <c r="B242" s="745">
        <v>230</v>
      </c>
      <c r="C242" s="759"/>
      <c r="D242" s="760"/>
      <c r="E242" s="761"/>
      <c r="F242" s="762"/>
      <c r="G242" s="193"/>
      <c r="H242" s="555">
        <f>IF(Consolidado_A!$G$133&gt;=7.6%,-(0.0165+0.076)*F242,0)</f>
        <v>0</v>
      </c>
      <c r="I242" s="193"/>
      <c r="J242" s="561">
        <f t="shared" si="9"/>
        <v>0</v>
      </c>
      <c r="K242" s="193"/>
      <c r="L242" s="561">
        <f t="shared" si="10"/>
        <v>0</v>
      </c>
      <c r="M242" s="193"/>
      <c r="N242" s="561">
        <f t="shared" si="11"/>
        <v>0</v>
      </c>
    </row>
    <row r="243" spans="2:14" hidden="1">
      <c r="B243" s="745">
        <v>231</v>
      </c>
      <c r="C243" s="759"/>
      <c r="D243" s="760"/>
      <c r="E243" s="761"/>
      <c r="F243" s="762"/>
      <c r="G243" s="193"/>
      <c r="H243" s="555">
        <f>IF(Consolidado_A!$G$133&gt;=7.6%,-(0.0165+0.076)*F243,0)</f>
        <v>0</v>
      </c>
      <c r="I243" s="193"/>
      <c r="J243" s="561">
        <f t="shared" si="9"/>
        <v>0</v>
      </c>
      <c r="K243" s="193"/>
      <c r="L243" s="561">
        <f t="shared" si="10"/>
        <v>0</v>
      </c>
      <c r="M243" s="193"/>
      <c r="N243" s="561">
        <f t="shared" si="11"/>
        <v>0</v>
      </c>
    </row>
    <row r="244" spans="2:14" hidden="1">
      <c r="B244" s="745">
        <v>232</v>
      </c>
      <c r="C244" s="759"/>
      <c r="D244" s="760"/>
      <c r="E244" s="761"/>
      <c r="F244" s="762"/>
      <c r="G244" s="193"/>
      <c r="H244" s="555">
        <f>IF(Consolidado_A!$G$133&gt;=7.6%,-(0.0165+0.076)*F244,0)</f>
        <v>0</v>
      </c>
      <c r="I244" s="193"/>
      <c r="J244" s="561">
        <f t="shared" si="9"/>
        <v>0</v>
      </c>
      <c r="K244" s="193"/>
      <c r="L244" s="561">
        <f t="shared" si="10"/>
        <v>0</v>
      </c>
      <c r="M244" s="193"/>
      <c r="N244" s="561">
        <f t="shared" si="11"/>
        <v>0</v>
      </c>
    </row>
    <row r="245" spans="2:14" hidden="1">
      <c r="B245" s="745">
        <v>233</v>
      </c>
      <c r="C245" s="759"/>
      <c r="D245" s="760"/>
      <c r="E245" s="761"/>
      <c r="F245" s="762"/>
      <c r="G245" s="193"/>
      <c r="H245" s="555">
        <f>IF(Consolidado_A!$G$133&gt;=7.6%,-(0.0165+0.076)*F245,0)</f>
        <v>0</v>
      </c>
      <c r="I245" s="193"/>
      <c r="J245" s="561">
        <f t="shared" si="9"/>
        <v>0</v>
      </c>
      <c r="K245" s="193"/>
      <c r="L245" s="561">
        <f t="shared" si="10"/>
        <v>0</v>
      </c>
      <c r="M245" s="193"/>
      <c r="N245" s="561">
        <f t="shared" si="11"/>
        <v>0</v>
      </c>
    </row>
    <row r="246" spans="2:14" hidden="1">
      <c r="B246" s="745">
        <v>234</v>
      </c>
      <c r="C246" s="759"/>
      <c r="D246" s="760"/>
      <c r="E246" s="761"/>
      <c r="F246" s="762"/>
      <c r="G246" s="193"/>
      <c r="H246" s="555">
        <f>IF(Consolidado_A!$G$133&gt;=7.6%,-(0.0165+0.076)*F246,0)</f>
        <v>0</v>
      </c>
      <c r="I246" s="193"/>
      <c r="J246" s="561">
        <f t="shared" si="9"/>
        <v>0</v>
      </c>
      <c r="K246" s="193"/>
      <c r="L246" s="561">
        <f t="shared" si="10"/>
        <v>0</v>
      </c>
      <c r="M246" s="193"/>
      <c r="N246" s="561">
        <f t="shared" si="11"/>
        <v>0</v>
      </c>
    </row>
    <row r="247" spans="2:14" hidden="1">
      <c r="B247" s="745">
        <v>235</v>
      </c>
      <c r="C247" s="759"/>
      <c r="D247" s="760"/>
      <c r="E247" s="761"/>
      <c r="F247" s="762"/>
      <c r="G247" s="193"/>
      <c r="H247" s="555">
        <f>IF(Consolidado_A!$G$133&gt;=7.6%,-(0.0165+0.076)*F247,0)</f>
        <v>0</v>
      </c>
      <c r="I247" s="193"/>
      <c r="J247" s="561">
        <f t="shared" si="9"/>
        <v>0</v>
      </c>
      <c r="K247" s="193"/>
      <c r="L247" s="561">
        <f t="shared" si="10"/>
        <v>0</v>
      </c>
      <c r="M247" s="193"/>
      <c r="N247" s="561">
        <f t="shared" si="11"/>
        <v>0</v>
      </c>
    </row>
    <row r="248" spans="2:14" hidden="1">
      <c r="B248" s="745">
        <v>236</v>
      </c>
      <c r="C248" s="759"/>
      <c r="D248" s="760"/>
      <c r="E248" s="761"/>
      <c r="F248" s="762"/>
      <c r="G248" s="193"/>
      <c r="H248" s="555">
        <f>IF(Consolidado_A!$G$133&gt;=7.6%,-(0.0165+0.076)*F248,0)</f>
        <v>0</v>
      </c>
      <c r="I248" s="193"/>
      <c r="J248" s="561">
        <f t="shared" si="9"/>
        <v>0</v>
      </c>
      <c r="K248" s="193"/>
      <c r="L248" s="561">
        <f t="shared" si="10"/>
        <v>0</v>
      </c>
      <c r="M248" s="193"/>
      <c r="N248" s="561">
        <f t="shared" si="11"/>
        <v>0</v>
      </c>
    </row>
    <row r="249" spans="2:14" hidden="1">
      <c r="B249" s="745">
        <v>237</v>
      </c>
      <c r="C249" s="759"/>
      <c r="D249" s="760"/>
      <c r="E249" s="761"/>
      <c r="F249" s="762"/>
      <c r="G249" s="193"/>
      <c r="H249" s="555">
        <f>IF(Consolidado_A!$G$133&gt;=7.6%,-(0.0165+0.076)*F249,0)</f>
        <v>0</v>
      </c>
      <c r="I249" s="193"/>
      <c r="J249" s="561">
        <f t="shared" si="9"/>
        <v>0</v>
      </c>
      <c r="K249" s="193"/>
      <c r="L249" s="561">
        <f t="shared" si="10"/>
        <v>0</v>
      </c>
      <c r="M249" s="193"/>
      <c r="N249" s="561">
        <f t="shared" si="11"/>
        <v>0</v>
      </c>
    </row>
    <row r="250" spans="2:14" hidden="1">
      <c r="B250" s="745">
        <v>238</v>
      </c>
      <c r="C250" s="759"/>
      <c r="D250" s="760"/>
      <c r="E250" s="761"/>
      <c r="F250" s="762"/>
      <c r="G250" s="193"/>
      <c r="H250" s="555">
        <f>IF(Consolidado_A!$G$133&gt;=7.6%,-(0.0165+0.076)*F250,0)</f>
        <v>0</v>
      </c>
      <c r="I250" s="193"/>
      <c r="J250" s="561">
        <f t="shared" si="9"/>
        <v>0</v>
      </c>
      <c r="K250" s="193"/>
      <c r="L250" s="561">
        <f t="shared" si="10"/>
        <v>0</v>
      </c>
      <c r="M250" s="193"/>
      <c r="N250" s="561">
        <f t="shared" si="11"/>
        <v>0</v>
      </c>
    </row>
    <row r="251" spans="2:14" hidden="1">
      <c r="B251" s="745">
        <v>239</v>
      </c>
      <c r="C251" s="759"/>
      <c r="D251" s="760"/>
      <c r="E251" s="761"/>
      <c r="F251" s="762"/>
      <c r="G251" s="193"/>
      <c r="H251" s="555">
        <f>IF(Consolidado_A!$G$133&gt;=7.6%,-(0.0165+0.076)*F251,0)</f>
        <v>0</v>
      </c>
      <c r="I251" s="193"/>
      <c r="J251" s="561">
        <f t="shared" si="9"/>
        <v>0</v>
      </c>
      <c r="K251" s="193"/>
      <c r="L251" s="561">
        <f t="shared" si="10"/>
        <v>0</v>
      </c>
      <c r="M251" s="193"/>
      <c r="N251" s="561">
        <f t="shared" si="11"/>
        <v>0</v>
      </c>
    </row>
    <row r="252" spans="2:14" hidden="1">
      <c r="B252" s="745">
        <v>240</v>
      </c>
      <c r="C252" s="759"/>
      <c r="D252" s="760"/>
      <c r="E252" s="761"/>
      <c r="F252" s="762"/>
      <c r="G252" s="193"/>
      <c r="H252" s="555">
        <f>IF(Consolidado_A!$G$133&gt;=7.6%,-(0.0165+0.076)*F252,0)</f>
        <v>0</v>
      </c>
      <c r="I252" s="193"/>
      <c r="J252" s="561">
        <f t="shared" si="9"/>
        <v>0</v>
      </c>
      <c r="K252" s="193"/>
      <c r="L252" s="561">
        <f t="shared" si="10"/>
        <v>0</v>
      </c>
      <c r="M252" s="193"/>
      <c r="N252" s="561">
        <f t="shared" si="11"/>
        <v>0</v>
      </c>
    </row>
    <row r="253" spans="2:14" hidden="1">
      <c r="B253" s="745">
        <v>241</v>
      </c>
      <c r="C253" s="759"/>
      <c r="D253" s="760"/>
      <c r="E253" s="761"/>
      <c r="F253" s="762"/>
      <c r="G253" s="193"/>
      <c r="H253" s="555">
        <f>IF(Consolidado_A!$G$133&gt;=7.6%,-(0.0165+0.076)*F253,0)</f>
        <v>0</v>
      </c>
      <c r="I253" s="193"/>
      <c r="J253" s="561">
        <f t="shared" si="9"/>
        <v>0</v>
      </c>
      <c r="K253" s="193"/>
      <c r="L253" s="561">
        <f t="shared" si="10"/>
        <v>0</v>
      </c>
      <c r="M253" s="193"/>
      <c r="N253" s="561">
        <f t="shared" si="11"/>
        <v>0</v>
      </c>
    </row>
    <row r="254" spans="2:14" hidden="1">
      <c r="B254" s="745">
        <v>242</v>
      </c>
      <c r="C254" s="759"/>
      <c r="D254" s="760"/>
      <c r="E254" s="761"/>
      <c r="F254" s="762"/>
      <c r="G254" s="193"/>
      <c r="H254" s="555">
        <f>IF(Consolidado_A!$G$133&gt;=7.6%,-(0.0165+0.076)*F254,0)</f>
        <v>0</v>
      </c>
      <c r="I254" s="193"/>
      <c r="J254" s="561">
        <f t="shared" si="9"/>
        <v>0</v>
      </c>
      <c r="K254" s="193"/>
      <c r="L254" s="561">
        <f t="shared" si="10"/>
        <v>0</v>
      </c>
      <c r="M254" s="193"/>
      <c r="N254" s="561">
        <f t="shared" si="11"/>
        <v>0</v>
      </c>
    </row>
    <row r="255" spans="2:14" hidden="1">
      <c r="B255" s="745">
        <v>243</v>
      </c>
      <c r="C255" s="759"/>
      <c r="D255" s="760"/>
      <c r="E255" s="761"/>
      <c r="F255" s="762"/>
      <c r="G255" s="193"/>
      <c r="H255" s="555">
        <f>IF(Consolidado_A!$G$133&gt;=7.6%,-(0.0165+0.076)*F255,0)</f>
        <v>0</v>
      </c>
      <c r="I255" s="193"/>
      <c r="J255" s="561">
        <f t="shared" si="9"/>
        <v>0</v>
      </c>
      <c r="K255" s="193"/>
      <c r="L255" s="561">
        <f t="shared" si="10"/>
        <v>0</v>
      </c>
      <c r="M255" s="193"/>
      <c r="N255" s="561">
        <f t="shared" si="11"/>
        <v>0</v>
      </c>
    </row>
    <row r="256" spans="2:14" hidden="1">
      <c r="B256" s="745">
        <v>244</v>
      </c>
      <c r="C256" s="759"/>
      <c r="D256" s="760"/>
      <c r="E256" s="761"/>
      <c r="F256" s="762"/>
      <c r="G256" s="193"/>
      <c r="H256" s="555">
        <f>IF(Consolidado_A!$G$133&gt;=7.6%,-(0.0165+0.076)*F256,0)</f>
        <v>0</v>
      </c>
      <c r="I256" s="193"/>
      <c r="J256" s="561">
        <f t="shared" si="9"/>
        <v>0</v>
      </c>
      <c r="K256" s="193"/>
      <c r="L256" s="561">
        <f t="shared" si="10"/>
        <v>0</v>
      </c>
      <c r="M256" s="193"/>
      <c r="N256" s="561">
        <f t="shared" si="11"/>
        <v>0</v>
      </c>
    </row>
    <row r="257" spans="2:14" hidden="1">
      <c r="B257" s="745">
        <v>245</v>
      </c>
      <c r="C257" s="759"/>
      <c r="D257" s="760"/>
      <c r="E257" s="761"/>
      <c r="F257" s="762"/>
      <c r="G257" s="193"/>
      <c r="H257" s="555">
        <f>IF(Consolidado_A!$G$133&gt;=7.6%,-(0.0165+0.076)*F257,0)</f>
        <v>0</v>
      </c>
      <c r="I257" s="193"/>
      <c r="J257" s="561">
        <f t="shared" si="9"/>
        <v>0</v>
      </c>
      <c r="K257" s="193"/>
      <c r="L257" s="561">
        <f t="shared" si="10"/>
        <v>0</v>
      </c>
      <c r="M257" s="193"/>
      <c r="N257" s="561">
        <f t="shared" si="11"/>
        <v>0</v>
      </c>
    </row>
    <row r="258" spans="2:14" hidden="1">
      <c r="B258" s="745">
        <v>246</v>
      </c>
      <c r="C258" s="759"/>
      <c r="D258" s="760"/>
      <c r="E258" s="761"/>
      <c r="F258" s="762"/>
      <c r="G258" s="193"/>
      <c r="H258" s="555">
        <f>IF(Consolidado_A!$G$133&gt;=7.6%,-(0.0165+0.076)*F258,0)</f>
        <v>0</v>
      </c>
      <c r="I258" s="193"/>
      <c r="J258" s="561">
        <f t="shared" si="9"/>
        <v>0</v>
      </c>
      <c r="K258" s="193"/>
      <c r="L258" s="561">
        <f t="shared" si="10"/>
        <v>0</v>
      </c>
      <c r="M258" s="193"/>
      <c r="N258" s="561">
        <f t="shared" si="11"/>
        <v>0</v>
      </c>
    </row>
    <row r="259" spans="2:14" hidden="1">
      <c r="B259" s="745">
        <v>247</v>
      </c>
      <c r="C259" s="759"/>
      <c r="D259" s="760"/>
      <c r="E259" s="761"/>
      <c r="F259" s="762"/>
      <c r="G259" s="193"/>
      <c r="H259" s="555">
        <f>IF(Consolidado_A!$G$133&gt;=7.6%,-(0.0165+0.076)*F259,0)</f>
        <v>0</v>
      </c>
      <c r="I259" s="193"/>
      <c r="J259" s="561">
        <f t="shared" si="9"/>
        <v>0</v>
      </c>
      <c r="K259" s="193"/>
      <c r="L259" s="561">
        <f t="shared" si="10"/>
        <v>0</v>
      </c>
      <c r="M259" s="193"/>
      <c r="N259" s="561">
        <f t="shared" si="11"/>
        <v>0</v>
      </c>
    </row>
    <row r="260" spans="2:14" hidden="1">
      <c r="B260" s="745">
        <v>248</v>
      </c>
      <c r="C260" s="759"/>
      <c r="D260" s="760"/>
      <c r="E260" s="761"/>
      <c r="F260" s="762"/>
      <c r="G260" s="193"/>
      <c r="H260" s="555">
        <f>IF(Consolidado_A!$G$133&gt;=7.6%,-(0.0165+0.076)*F260,0)</f>
        <v>0</v>
      </c>
      <c r="I260" s="193"/>
      <c r="J260" s="561">
        <f t="shared" si="9"/>
        <v>0</v>
      </c>
      <c r="K260" s="193"/>
      <c r="L260" s="561">
        <f t="shared" si="10"/>
        <v>0</v>
      </c>
      <c r="M260" s="193"/>
      <c r="N260" s="561">
        <f t="shared" si="11"/>
        <v>0</v>
      </c>
    </row>
    <row r="261" spans="2:14" hidden="1">
      <c r="B261" s="745">
        <v>249</v>
      </c>
      <c r="C261" s="759"/>
      <c r="D261" s="760"/>
      <c r="E261" s="761"/>
      <c r="F261" s="762"/>
      <c r="G261" s="193"/>
      <c r="H261" s="555">
        <f>IF(Consolidado_A!$G$133&gt;=7.6%,-(0.0165+0.076)*F261,0)</f>
        <v>0</v>
      </c>
      <c r="I261" s="193"/>
      <c r="J261" s="561">
        <f t="shared" si="9"/>
        <v>0</v>
      </c>
      <c r="K261" s="193"/>
      <c r="L261" s="561">
        <f t="shared" si="10"/>
        <v>0</v>
      </c>
      <c r="M261" s="193"/>
      <c r="N261" s="561">
        <f t="shared" si="11"/>
        <v>0</v>
      </c>
    </row>
    <row r="262" spans="2:14" hidden="1">
      <c r="B262" s="745">
        <v>250</v>
      </c>
      <c r="C262" s="759"/>
      <c r="D262" s="760"/>
      <c r="E262" s="761"/>
      <c r="F262" s="762"/>
      <c r="G262" s="193"/>
      <c r="H262" s="555">
        <f>IF(Consolidado_A!$G$133&gt;=7.6%,-(0.0165+0.076)*F262,0)</f>
        <v>0</v>
      </c>
      <c r="I262" s="193"/>
      <c r="J262" s="561">
        <f t="shared" si="9"/>
        <v>0</v>
      </c>
      <c r="K262" s="193"/>
      <c r="L262" s="561">
        <f t="shared" si="10"/>
        <v>0</v>
      </c>
      <c r="M262" s="193"/>
      <c r="N262" s="561">
        <f t="shared" si="11"/>
        <v>0</v>
      </c>
    </row>
    <row r="263" spans="2:14" hidden="1">
      <c r="B263" s="745">
        <v>251</v>
      </c>
      <c r="C263" s="759"/>
      <c r="D263" s="760"/>
      <c r="E263" s="761"/>
      <c r="F263" s="762"/>
      <c r="G263" s="193"/>
      <c r="H263" s="555">
        <f>IF(Consolidado_A!$G$133&gt;=7.6%,-(0.0165+0.076)*F263,0)</f>
        <v>0</v>
      </c>
      <c r="I263" s="193"/>
      <c r="J263" s="561">
        <f t="shared" si="9"/>
        <v>0</v>
      </c>
      <c r="K263" s="193"/>
      <c r="L263" s="561">
        <f t="shared" si="10"/>
        <v>0</v>
      </c>
      <c r="M263" s="193"/>
      <c r="N263" s="561">
        <f t="shared" si="11"/>
        <v>0</v>
      </c>
    </row>
    <row r="264" spans="2:14" hidden="1">
      <c r="B264" s="745">
        <v>252</v>
      </c>
      <c r="C264" s="759"/>
      <c r="D264" s="760"/>
      <c r="E264" s="761"/>
      <c r="F264" s="762"/>
      <c r="G264" s="193"/>
      <c r="H264" s="555">
        <f>IF(Consolidado_A!$G$133&gt;=7.6%,-(0.0165+0.076)*F264,0)</f>
        <v>0</v>
      </c>
      <c r="I264" s="193"/>
      <c r="J264" s="561">
        <f t="shared" si="9"/>
        <v>0</v>
      </c>
      <c r="K264" s="193"/>
      <c r="L264" s="561">
        <f t="shared" si="10"/>
        <v>0</v>
      </c>
      <c r="M264" s="193"/>
      <c r="N264" s="561">
        <f t="shared" si="11"/>
        <v>0</v>
      </c>
    </row>
    <row r="265" spans="2:14" hidden="1">
      <c r="B265" s="745">
        <v>253</v>
      </c>
      <c r="C265" s="759"/>
      <c r="D265" s="760"/>
      <c r="E265" s="761"/>
      <c r="F265" s="762"/>
      <c r="G265" s="193"/>
      <c r="H265" s="555">
        <f>IF(Consolidado_A!$G$133&gt;=7.6%,-(0.0165+0.076)*F265,0)</f>
        <v>0</v>
      </c>
      <c r="I265" s="193"/>
      <c r="J265" s="561">
        <f t="shared" si="9"/>
        <v>0</v>
      </c>
      <c r="K265" s="193"/>
      <c r="L265" s="561">
        <f t="shared" si="10"/>
        <v>0</v>
      </c>
      <c r="M265" s="193"/>
      <c r="N265" s="561">
        <f t="shared" si="11"/>
        <v>0</v>
      </c>
    </row>
    <row r="266" spans="2:14" hidden="1">
      <c r="B266" s="745">
        <v>254</v>
      </c>
      <c r="C266" s="759"/>
      <c r="D266" s="760"/>
      <c r="E266" s="761"/>
      <c r="F266" s="762"/>
      <c r="G266" s="193"/>
      <c r="H266" s="555">
        <f>IF(Consolidado_A!$G$133&gt;=7.6%,-(0.0165+0.076)*F266,0)</f>
        <v>0</v>
      </c>
      <c r="I266" s="193"/>
      <c r="J266" s="561">
        <f t="shared" si="9"/>
        <v>0</v>
      </c>
      <c r="K266" s="193"/>
      <c r="L266" s="561">
        <f t="shared" si="10"/>
        <v>0</v>
      </c>
      <c r="M266" s="193"/>
      <c r="N266" s="561">
        <f t="shared" si="11"/>
        <v>0</v>
      </c>
    </row>
    <row r="267" spans="2:14" hidden="1">
      <c r="B267" s="745">
        <v>255</v>
      </c>
      <c r="C267" s="759"/>
      <c r="D267" s="760"/>
      <c r="E267" s="761"/>
      <c r="F267" s="762"/>
      <c r="G267" s="193"/>
      <c r="H267" s="555">
        <f>IF(Consolidado_A!$G$133&gt;=7.6%,-(0.0165+0.076)*F267,0)</f>
        <v>0</v>
      </c>
      <c r="I267" s="193"/>
      <c r="J267" s="561">
        <f t="shared" si="9"/>
        <v>0</v>
      </c>
      <c r="K267" s="193"/>
      <c r="L267" s="561">
        <f t="shared" si="10"/>
        <v>0</v>
      </c>
      <c r="M267" s="193"/>
      <c r="N267" s="561">
        <f t="shared" si="11"/>
        <v>0</v>
      </c>
    </row>
    <row r="268" spans="2:14" hidden="1">
      <c r="B268" s="745">
        <v>256</v>
      </c>
      <c r="C268" s="759"/>
      <c r="D268" s="760"/>
      <c r="E268" s="761"/>
      <c r="F268" s="762"/>
      <c r="G268" s="193"/>
      <c r="H268" s="555">
        <f>IF(Consolidado_A!$G$133&gt;=7.6%,-(0.0165+0.076)*F268,0)</f>
        <v>0</v>
      </c>
      <c r="I268" s="193"/>
      <c r="J268" s="561">
        <f t="shared" si="9"/>
        <v>0</v>
      </c>
      <c r="K268" s="193"/>
      <c r="L268" s="561">
        <f t="shared" si="10"/>
        <v>0</v>
      </c>
      <c r="M268" s="193"/>
      <c r="N268" s="561">
        <f t="shared" si="11"/>
        <v>0</v>
      </c>
    </row>
    <row r="269" spans="2:14" hidden="1">
      <c r="B269" s="745">
        <v>257</v>
      </c>
      <c r="C269" s="759"/>
      <c r="D269" s="760"/>
      <c r="E269" s="761"/>
      <c r="F269" s="762"/>
      <c r="G269" s="193"/>
      <c r="H269" s="555">
        <f>IF(Consolidado_A!$G$133&gt;=7.6%,-(0.0165+0.076)*F269,0)</f>
        <v>0</v>
      </c>
      <c r="I269" s="193"/>
      <c r="J269" s="561">
        <f t="shared" ref="J269:J332" si="12">F269+H269</f>
        <v>0</v>
      </c>
      <c r="K269" s="193"/>
      <c r="L269" s="561">
        <f t="shared" ref="L269:L332" si="13">J269*E269</f>
        <v>0</v>
      </c>
      <c r="M269" s="193"/>
      <c r="N269" s="561">
        <f t="shared" ref="N269:N332" si="14">L269*12</f>
        <v>0</v>
      </c>
    </row>
    <row r="270" spans="2:14" hidden="1">
      <c r="B270" s="745">
        <v>258</v>
      </c>
      <c r="C270" s="759"/>
      <c r="D270" s="760"/>
      <c r="E270" s="761"/>
      <c r="F270" s="762"/>
      <c r="G270" s="193"/>
      <c r="H270" s="555">
        <f>IF(Consolidado_A!$G$133&gt;=7.6%,-(0.0165+0.076)*F270,0)</f>
        <v>0</v>
      </c>
      <c r="I270" s="193"/>
      <c r="J270" s="561">
        <f t="shared" si="12"/>
        <v>0</v>
      </c>
      <c r="K270" s="193"/>
      <c r="L270" s="561">
        <f t="shared" si="13"/>
        <v>0</v>
      </c>
      <c r="M270" s="193"/>
      <c r="N270" s="561">
        <f t="shared" si="14"/>
        <v>0</v>
      </c>
    </row>
    <row r="271" spans="2:14" hidden="1">
      <c r="B271" s="745">
        <v>259</v>
      </c>
      <c r="C271" s="759"/>
      <c r="D271" s="760"/>
      <c r="E271" s="761"/>
      <c r="F271" s="762"/>
      <c r="G271" s="193"/>
      <c r="H271" s="555">
        <f>IF(Consolidado_A!$G$133&gt;=7.6%,-(0.0165+0.076)*F271,0)</f>
        <v>0</v>
      </c>
      <c r="I271" s="193"/>
      <c r="J271" s="561">
        <f t="shared" si="12"/>
        <v>0</v>
      </c>
      <c r="K271" s="193"/>
      <c r="L271" s="561">
        <f t="shared" si="13"/>
        <v>0</v>
      </c>
      <c r="M271" s="193"/>
      <c r="N271" s="561">
        <f t="shared" si="14"/>
        <v>0</v>
      </c>
    </row>
    <row r="272" spans="2:14" hidden="1">
      <c r="B272" s="745">
        <v>260</v>
      </c>
      <c r="C272" s="759"/>
      <c r="D272" s="760"/>
      <c r="E272" s="761"/>
      <c r="F272" s="762"/>
      <c r="G272" s="193"/>
      <c r="H272" s="555">
        <f>IF(Consolidado_A!$G$133&gt;=7.6%,-(0.0165+0.076)*F272,0)</f>
        <v>0</v>
      </c>
      <c r="I272" s="193"/>
      <c r="J272" s="561">
        <f t="shared" si="12"/>
        <v>0</v>
      </c>
      <c r="K272" s="193"/>
      <c r="L272" s="561">
        <f t="shared" si="13"/>
        <v>0</v>
      </c>
      <c r="M272" s="193"/>
      <c r="N272" s="561">
        <f t="shared" si="14"/>
        <v>0</v>
      </c>
    </row>
    <row r="273" spans="2:14" hidden="1">
      <c r="B273" s="745">
        <v>261</v>
      </c>
      <c r="C273" s="759"/>
      <c r="D273" s="760"/>
      <c r="E273" s="761"/>
      <c r="F273" s="762"/>
      <c r="G273" s="193"/>
      <c r="H273" s="555">
        <f>IF(Consolidado_A!$G$133&gt;=7.6%,-(0.0165+0.076)*F273,0)</f>
        <v>0</v>
      </c>
      <c r="I273" s="193"/>
      <c r="J273" s="561">
        <f t="shared" si="12"/>
        <v>0</v>
      </c>
      <c r="K273" s="193"/>
      <c r="L273" s="561">
        <f t="shared" si="13"/>
        <v>0</v>
      </c>
      <c r="M273" s="193"/>
      <c r="N273" s="561">
        <f t="shared" si="14"/>
        <v>0</v>
      </c>
    </row>
    <row r="274" spans="2:14" hidden="1">
      <c r="B274" s="745">
        <v>262</v>
      </c>
      <c r="C274" s="759"/>
      <c r="D274" s="760"/>
      <c r="E274" s="761"/>
      <c r="F274" s="762"/>
      <c r="G274" s="193"/>
      <c r="H274" s="555">
        <f>IF(Consolidado_A!$G$133&gt;=7.6%,-(0.0165+0.076)*F274,0)</f>
        <v>0</v>
      </c>
      <c r="I274" s="193"/>
      <c r="J274" s="561">
        <f t="shared" si="12"/>
        <v>0</v>
      </c>
      <c r="K274" s="193"/>
      <c r="L274" s="561">
        <f t="shared" si="13"/>
        <v>0</v>
      </c>
      <c r="M274" s="193"/>
      <c r="N274" s="561">
        <f t="shared" si="14"/>
        <v>0</v>
      </c>
    </row>
    <row r="275" spans="2:14" hidden="1">
      <c r="B275" s="745">
        <v>263</v>
      </c>
      <c r="C275" s="759"/>
      <c r="D275" s="760"/>
      <c r="E275" s="761"/>
      <c r="F275" s="762"/>
      <c r="G275" s="193"/>
      <c r="H275" s="555">
        <f>IF(Consolidado_A!$G$133&gt;=7.6%,-(0.0165+0.076)*F275,0)</f>
        <v>0</v>
      </c>
      <c r="I275" s="193"/>
      <c r="J275" s="561">
        <f t="shared" si="12"/>
        <v>0</v>
      </c>
      <c r="K275" s="193"/>
      <c r="L275" s="561">
        <f t="shared" si="13"/>
        <v>0</v>
      </c>
      <c r="M275" s="193"/>
      <c r="N275" s="561">
        <f t="shared" si="14"/>
        <v>0</v>
      </c>
    </row>
    <row r="276" spans="2:14" hidden="1">
      <c r="B276" s="745">
        <v>264</v>
      </c>
      <c r="C276" s="759"/>
      <c r="D276" s="760"/>
      <c r="E276" s="761"/>
      <c r="F276" s="762"/>
      <c r="G276" s="193"/>
      <c r="H276" s="555">
        <f>IF(Consolidado_A!$G$133&gt;=7.6%,-(0.0165+0.076)*F276,0)</f>
        <v>0</v>
      </c>
      <c r="I276" s="193"/>
      <c r="J276" s="561">
        <f t="shared" si="12"/>
        <v>0</v>
      </c>
      <c r="K276" s="193"/>
      <c r="L276" s="561">
        <f t="shared" si="13"/>
        <v>0</v>
      </c>
      <c r="M276" s="193"/>
      <c r="N276" s="561">
        <f t="shared" si="14"/>
        <v>0</v>
      </c>
    </row>
    <row r="277" spans="2:14" hidden="1">
      <c r="B277" s="745">
        <v>265</v>
      </c>
      <c r="C277" s="759"/>
      <c r="D277" s="760"/>
      <c r="E277" s="761"/>
      <c r="F277" s="762"/>
      <c r="G277" s="193"/>
      <c r="H277" s="555">
        <f>IF(Consolidado_A!$G$133&gt;=7.6%,-(0.0165+0.076)*F277,0)</f>
        <v>0</v>
      </c>
      <c r="I277" s="193"/>
      <c r="J277" s="561">
        <f t="shared" si="12"/>
        <v>0</v>
      </c>
      <c r="K277" s="193"/>
      <c r="L277" s="561">
        <f t="shared" si="13"/>
        <v>0</v>
      </c>
      <c r="M277" s="193"/>
      <c r="N277" s="561">
        <f t="shared" si="14"/>
        <v>0</v>
      </c>
    </row>
    <row r="278" spans="2:14" hidden="1">
      <c r="B278" s="745">
        <v>266</v>
      </c>
      <c r="C278" s="759"/>
      <c r="D278" s="760"/>
      <c r="E278" s="761"/>
      <c r="F278" s="762"/>
      <c r="G278" s="193"/>
      <c r="H278" s="555">
        <f>IF(Consolidado_A!$G$133&gt;=7.6%,-(0.0165+0.076)*F278,0)</f>
        <v>0</v>
      </c>
      <c r="I278" s="193"/>
      <c r="J278" s="561">
        <f t="shared" si="12"/>
        <v>0</v>
      </c>
      <c r="K278" s="193"/>
      <c r="L278" s="561">
        <f t="shared" si="13"/>
        <v>0</v>
      </c>
      <c r="M278" s="193"/>
      <c r="N278" s="561">
        <f t="shared" si="14"/>
        <v>0</v>
      </c>
    </row>
    <row r="279" spans="2:14" hidden="1">
      <c r="B279" s="745">
        <v>267</v>
      </c>
      <c r="C279" s="759"/>
      <c r="D279" s="760"/>
      <c r="E279" s="761"/>
      <c r="F279" s="762"/>
      <c r="G279" s="193"/>
      <c r="H279" s="555">
        <f>IF(Consolidado_A!$G$133&gt;=7.6%,-(0.0165+0.076)*F279,0)</f>
        <v>0</v>
      </c>
      <c r="I279" s="193"/>
      <c r="J279" s="561">
        <f t="shared" si="12"/>
        <v>0</v>
      </c>
      <c r="K279" s="193"/>
      <c r="L279" s="561">
        <f t="shared" si="13"/>
        <v>0</v>
      </c>
      <c r="M279" s="193"/>
      <c r="N279" s="561">
        <f t="shared" si="14"/>
        <v>0</v>
      </c>
    </row>
    <row r="280" spans="2:14" hidden="1">
      <c r="B280" s="745">
        <v>268</v>
      </c>
      <c r="C280" s="759"/>
      <c r="D280" s="760"/>
      <c r="E280" s="761"/>
      <c r="F280" s="762"/>
      <c r="G280" s="193"/>
      <c r="H280" s="555">
        <f>IF(Consolidado_A!$G$133&gt;=7.6%,-(0.0165+0.076)*F280,0)</f>
        <v>0</v>
      </c>
      <c r="I280" s="193"/>
      <c r="J280" s="561">
        <f t="shared" si="12"/>
        <v>0</v>
      </c>
      <c r="K280" s="193"/>
      <c r="L280" s="561">
        <f t="shared" si="13"/>
        <v>0</v>
      </c>
      <c r="M280" s="193"/>
      <c r="N280" s="561">
        <f t="shared" si="14"/>
        <v>0</v>
      </c>
    </row>
    <row r="281" spans="2:14" hidden="1">
      <c r="B281" s="745">
        <v>269</v>
      </c>
      <c r="C281" s="759"/>
      <c r="D281" s="760"/>
      <c r="E281" s="761"/>
      <c r="F281" s="762"/>
      <c r="G281" s="193"/>
      <c r="H281" s="555">
        <f>IF(Consolidado_A!$G$133&gt;=7.6%,-(0.0165+0.076)*F281,0)</f>
        <v>0</v>
      </c>
      <c r="I281" s="193"/>
      <c r="J281" s="561">
        <f t="shared" si="12"/>
        <v>0</v>
      </c>
      <c r="K281" s="193"/>
      <c r="L281" s="561">
        <f t="shared" si="13"/>
        <v>0</v>
      </c>
      <c r="M281" s="193"/>
      <c r="N281" s="561">
        <f t="shared" si="14"/>
        <v>0</v>
      </c>
    </row>
    <row r="282" spans="2:14" hidden="1">
      <c r="B282" s="745">
        <v>270</v>
      </c>
      <c r="C282" s="759"/>
      <c r="D282" s="760"/>
      <c r="E282" s="761"/>
      <c r="F282" s="762"/>
      <c r="G282" s="193"/>
      <c r="H282" s="555">
        <f>IF(Consolidado_A!$G$133&gt;=7.6%,-(0.0165+0.076)*F282,0)</f>
        <v>0</v>
      </c>
      <c r="I282" s="193"/>
      <c r="J282" s="561">
        <f t="shared" si="12"/>
        <v>0</v>
      </c>
      <c r="K282" s="193"/>
      <c r="L282" s="561">
        <f t="shared" si="13"/>
        <v>0</v>
      </c>
      <c r="M282" s="193"/>
      <c r="N282" s="561">
        <f t="shared" si="14"/>
        <v>0</v>
      </c>
    </row>
    <row r="283" spans="2:14" hidden="1">
      <c r="B283" s="745">
        <v>271</v>
      </c>
      <c r="C283" s="759"/>
      <c r="D283" s="760"/>
      <c r="E283" s="761"/>
      <c r="F283" s="762"/>
      <c r="G283" s="193"/>
      <c r="H283" s="555">
        <f>IF(Consolidado_A!$G$133&gt;=7.6%,-(0.0165+0.076)*F283,0)</f>
        <v>0</v>
      </c>
      <c r="I283" s="193"/>
      <c r="J283" s="561">
        <f t="shared" si="12"/>
        <v>0</v>
      </c>
      <c r="K283" s="193"/>
      <c r="L283" s="561">
        <f t="shared" si="13"/>
        <v>0</v>
      </c>
      <c r="M283" s="193"/>
      <c r="N283" s="561">
        <f t="shared" si="14"/>
        <v>0</v>
      </c>
    </row>
    <row r="284" spans="2:14" hidden="1">
      <c r="B284" s="745">
        <v>272</v>
      </c>
      <c r="C284" s="759"/>
      <c r="D284" s="760"/>
      <c r="E284" s="761"/>
      <c r="F284" s="762"/>
      <c r="G284" s="193"/>
      <c r="H284" s="555">
        <f>IF(Consolidado_A!$G$133&gt;=7.6%,-(0.0165+0.076)*F284,0)</f>
        <v>0</v>
      </c>
      <c r="I284" s="193"/>
      <c r="J284" s="561">
        <f t="shared" si="12"/>
        <v>0</v>
      </c>
      <c r="K284" s="193"/>
      <c r="L284" s="561">
        <f t="shared" si="13"/>
        <v>0</v>
      </c>
      <c r="M284" s="193"/>
      <c r="N284" s="561">
        <f t="shared" si="14"/>
        <v>0</v>
      </c>
    </row>
    <row r="285" spans="2:14" hidden="1">
      <c r="B285" s="745">
        <v>273</v>
      </c>
      <c r="C285" s="759"/>
      <c r="D285" s="760"/>
      <c r="E285" s="761"/>
      <c r="F285" s="762"/>
      <c r="G285" s="193"/>
      <c r="H285" s="555">
        <f>IF(Consolidado_A!$G$133&gt;=7.6%,-(0.0165+0.076)*F285,0)</f>
        <v>0</v>
      </c>
      <c r="I285" s="193"/>
      <c r="J285" s="561">
        <f t="shared" si="12"/>
        <v>0</v>
      </c>
      <c r="K285" s="193"/>
      <c r="L285" s="561">
        <f t="shared" si="13"/>
        <v>0</v>
      </c>
      <c r="M285" s="193"/>
      <c r="N285" s="561">
        <f t="shared" si="14"/>
        <v>0</v>
      </c>
    </row>
    <row r="286" spans="2:14" hidden="1">
      <c r="B286" s="745">
        <v>274</v>
      </c>
      <c r="C286" s="759"/>
      <c r="D286" s="760"/>
      <c r="E286" s="761"/>
      <c r="F286" s="762"/>
      <c r="G286" s="193"/>
      <c r="H286" s="555">
        <f>IF(Consolidado_A!$G$133&gt;=7.6%,-(0.0165+0.076)*F286,0)</f>
        <v>0</v>
      </c>
      <c r="I286" s="193"/>
      <c r="J286" s="561">
        <f t="shared" si="12"/>
        <v>0</v>
      </c>
      <c r="K286" s="193"/>
      <c r="L286" s="561">
        <f t="shared" si="13"/>
        <v>0</v>
      </c>
      <c r="M286" s="193"/>
      <c r="N286" s="561">
        <f t="shared" si="14"/>
        <v>0</v>
      </c>
    </row>
    <row r="287" spans="2:14" hidden="1">
      <c r="B287" s="745">
        <v>275</v>
      </c>
      <c r="C287" s="759"/>
      <c r="D287" s="760"/>
      <c r="E287" s="761"/>
      <c r="F287" s="762"/>
      <c r="G287" s="193"/>
      <c r="H287" s="555">
        <f>IF(Consolidado_A!$G$133&gt;=7.6%,-(0.0165+0.076)*F287,0)</f>
        <v>0</v>
      </c>
      <c r="I287" s="193"/>
      <c r="J287" s="561">
        <f t="shared" si="12"/>
        <v>0</v>
      </c>
      <c r="K287" s="193"/>
      <c r="L287" s="561">
        <f t="shared" si="13"/>
        <v>0</v>
      </c>
      <c r="M287" s="193"/>
      <c r="N287" s="561">
        <f t="shared" si="14"/>
        <v>0</v>
      </c>
    </row>
    <row r="288" spans="2:14" hidden="1">
      <c r="B288" s="745">
        <v>276</v>
      </c>
      <c r="C288" s="759"/>
      <c r="D288" s="760"/>
      <c r="E288" s="761"/>
      <c r="F288" s="762"/>
      <c r="G288" s="193"/>
      <c r="H288" s="555">
        <f>IF(Consolidado_A!$G$133&gt;=7.6%,-(0.0165+0.076)*F288,0)</f>
        <v>0</v>
      </c>
      <c r="I288" s="193"/>
      <c r="J288" s="561">
        <f t="shared" si="12"/>
        <v>0</v>
      </c>
      <c r="K288" s="193"/>
      <c r="L288" s="561">
        <f t="shared" si="13"/>
        <v>0</v>
      </c>
      <c r="M288" s="193"/>
      <c r="N288" s="561">
        <f t="shared" si="14"/>
        <v>0</v>
      </c>
    </row>
    <row r="289" spans="2:14" hidden="1">
      <c r="B289" s="745">
        <v>277</v>
      </c>
      <c r="C289" s="759"/>
      <c r="D289" s="760"/>
      <c r="E289" s="761"/>
      <c r="F289" s="762"/>
      <c r="G289" s="193"/>
      <c r="H289" s="555">
        <f>IF(Consolidado_A!$G$133&gt;=7.6%,-(0.0165+0.076)*F289,0)</f>
        <v>0</v>
      </c>
      <c r="I289" s="193"/>
      <c r="J289" s="561">
        <f t="shared" si="12"/>
        <v>0</v>
      </c>
      <c r="K289" s="193"/>
      <c r="L289" s="561">
        <f t="shared" si="13"/>
        <v>0</v>
      </c>
      <c r="M289" s="193"/>
      <c r="N289" s="561">
        <f t="shared" si="14"/>
        <v>0</v>
      </c>
    </row>
    <row r="290" spans="2:14" hidden="1">
      <c r="B290" s="745">
        <v>278</v>
      </c>
      <c r="C290" s="759"/>
      <c r="D290" s="760"/>
      <c r="E290" s="761"/>
      <c r="F290" s="762"/>
      <c r="G290" s="193"/>
      <c r="H290" s="555">
        <f>IF(Consolidado_A!$G$133&gt;=7.6%,-(0.0165+0.076)*F290,0)</f>
        <v>0</v>
      </c>
      <c r="I290" s="193"/>
      <c r="J290" s="561">
        <f t="shared" si="12"/>
        <v>0</v>
      </c>
      <c r="K290" s="193"/>
      <c r="L290" s="561">
        <f t="shared" si="13"/>
        <v>0</v>
      </c>
      <c r="M290" s="193"/>
      <c r="N290" s="561">
        <f t="shared" si="14"/>
        <v>0</v>
      </c>
    </row>
    <row r="291" spans="2:14" hidden="1">
      <c r="B291" s="745">
        <v>279</v>
      </c>
      <c r="C291" s="759"/>
      <c r="D291" s="760"/>
      <c r="E291" s="761"/>
      <c r="F291" s="762"/>
      <c r="G291" s="193"/>
      <c r="H291" s="555">
        <f>IF(Consolidado_A!$G$133&gt;=7.6%,-(0.0165+0.076)*F291,0)</f>
        <v>0</v>
      </c>
      <c r="I291" s="193"/>
      <c r="J291" s="561">
        <f t="shared" si="12"/>
        <v>0</v>
      </c>
      <c r="K291" s="193"/>
      <c r="L291" s="561">
        <f t="shared" si="13"/>
        <v>0</v>
      </c>
      <c r="M291" s="193"/>
      <c r="N291" s="561">
        <f t="shared" si="14"/>
        <v>0</v>
      </c>
    </row>
    <row r="292" spans="2:14" hidden="1">
      <c r="B292" s="745">
        <v>280</v>
      </c>
      <c r="C292" s="759"/>
      <c r="D292" s="760"/>
      <c r="E292" s="761"/>
      <c r="F292" s="762"/>
      <c r="G292" s="193"/>
      <c r="H292" s="555">
        <f>IF(Consolidado_A!$G$133&gt;=7.6%,-(0.0165+0.076)*F292,0)</f>
        <v>0</v>
      </c>
      <c r="I292" s="193"/>
      <c r="J292" s="561">
        <f t="shared" si="12"/>
        <v>0</v>
      </c>
      <c r="K292" s="193"/>
      <c r="L292" s="561">
        <f t="shared" si="13"/>
        <v>0</v>
      </c>
      <c r="M292" s="193"/>
      <c r="N292" s="561">
        <f t="shared" si="14"/>
        <v>0</v>
      </c>
    </row>
    <row r="293" spans="2:14" hidden="1">
      <c r="B293" s="745">
        <v>281</v>
      </c>
      <c r="C293" s="759"/>
      <c r="D293" s="760"/>
      <c r="E293" s="761"/>
      <c r="F293" s="762"/>
      <c r="G293" s="193"/>
      <c r="H293" s="555">
        <f>IF(Consolidado_A!$G$133&gt;=7.6%,-(0.0165+0.076)*F293,0)</f>
        <v>0</v>
      </c>
      <c r="I293" s="193"/>
      <c r="J293" s="561">
        <f t="shared" si="12"/>
        <v>0</v>
      </c>
      <c r="K293" s="193"/>
      <c r="L293" s="561">
        <f t="shared" si="13"/>
        <v>0</v>
      </c>
      <c r="M293" s="193"/>
      <c r="N293" s="561">
        <f t="shared" si="14"/>
        <v>0</v>
      </c>
    </row>
    <row r="294" spans="2:14" hidden="1">
      <c r="B294" s="745">
        <v>282</v>
      </c>
      <c r="C294" s="759"/>
      <c r="D294" s="760"/>
      <c r="E294" s="761"/>
      <c r="F294" s="762"/>
      <c r="G294" s="193"/>
      <c r="H294" s="555">
        <f>IF(Consolidado_A!$G$133&gt;=7.6%,-(0.0165+0.076)*F294,0)</f>
        <v>0</v>
      </c>
      <c r="I294" s="193"/>
      <c r="J294" s="561">
        <f t="shared" si="12"/>
        <v>0</v>
      </c>
      <c r="K294" s="193"/>
      <c r="L294" s="561">
        <f t="shared" si="13"/>
        <v>0</v>
      </c>
      <c r="M294" s="193"/>
      <c r="N294" s="561">
        <f t="shared" si="14"/>
        <v>0</v>
      </c>
    </row>
    <row r="295" spans="2:14" hidden="1">
      <c r="B295" s="745">
        <v>283</v>
      </c>
      <c r="C295" s="759"/>
      <c r="D295" s="760"/>
      <c r="E295" s="761"/>
      <c r="F295" s="762"/>
      <c r="G295" s="193"/>
      <c r="H295" s="555">
        <f>IF(Consolidado_A!$G$133&gt;=7.6%,-(0.0165+0.076)*F295,0)</f>
        <v>0</v>
      </c>
      <c r="I295" s="193"/>
      <c r="J295" s="561">
        <f t="shared" si="12"/>
        <v>0</v>
      </c>
      <c r="K295" s="193"/>
      <c r="L295" s="561">
        <f t="shared" si="13"/>
        <v>0</v>
      </c>
      <c r="M295" s="193"/>
      <c r="N295" s="561">
        <f t="shared" si="14"/>
        <v>0</v>
      </c>
    </row>
    <row r="296" spans="2:14" hidden="1">
      <c r="B296" s="745">
        <v>284</v>
      </c>
      <c r="C296" s="759"/>
      <c r="D296" s="760"/>
      <c r="E296" s="761"/>
      <c r="F296" s="762"/>
      <c r="G296" s="193"/>
      <c r="H296" s="555">
        <f>IF(Consolidado_A!$G$133&gt;=7.6%,-(0.0165+0.076)*F296,0)</f>
        <v>0</v>
      </c>
      <c r="I296" s="193"/>
      <c r="J296" s="561">
        <f t="shared" si="12"/>
        <v>0</v>
      </c>
      <c r="K296" s="193"/>
      <c r="L296" s="561">
        <f t="shared" si="13"/>
        <v>0</v>
      </c>
      <c r="M296" s="193"/>
      <c r="N296" s="561">
        <f t="shared" si="14"/>
        <v>0</v>
      </c>
    </row>
    <row r="297" spans="2:14" hidden="1">
      <c r="B297" s="745">
        <v>285</v>
      </c>
      <c r="C297" s="759"/>
      <c r="D297" s="760"/>
      <c r="E297" s="761"/>
      <c r="F297" s="762"/>
      <c r="G297" s="193"/>
      <c r="H297" s="555">
        <f>IF(Consolidado_A!$G$133&gt;=7.6%,-(0.0165+0.076)*F297,0)</f>
        <v>0</v>
      </c>
      <c r="I297" s="193"/>
      <c r="J297" s="561">
        <f t="shared" si="12"/>
        <v>0</v>
      </c>
      <c r="K297" s="193"/>
      <c r="L297" s="561">
        <f t="shared" si="13"/>
        <v>0</v>
      </c>
      <c r="M297" s="193"/>
      <c r="N297" s="561">
        <f t="shared" si="14"/>
        <v>0</v>
      </c>
    </row>
    <row r="298" spans="2:14" hidden="1">
      <c r="B298" s="745">
        <v>286</v>
      </c>
      <c r="C298" s="759"/>
      <c r="D298" s="760"/>
      <c r="E298" s="761"/>
      <c r="F298" s="762"/>
      <c r="G298" s="193"/>
      <c r="H298" s="555">
        <f>IF(Consolidado_A!$G$133&gt;=7.6%,-(0.0165+0.076)*F298,0)</f>
        <v>0</v>
      </c>
      <c r="I298" s="193"/>
      <c r="J298" s="561">
        <f t="shared" si="12"/>
        <v>0</v>
      </c>
      <c r="K298" s="193"/>
      <c r="L298" s="561">
        <f t="shared" si="13"/>
        <v>0</v>
      </c>
      <c r="M298" s="193"/>
      <c r="N298" s="561">
        <f t="shared" si="14"/>
        <v>0</v>
      </c>
    </row>
    <row r="299" spans="2:14" hidden="1">
      <c r="B299" s="745">
        <v>287</v>
      </c>
      <c r="C299" s="759"/>
      <c r="D299" s="760"/>
      <c r="E299" s="761"/>
      <c r="F299" s="762"/>
      <c r="G299" s="193"/>
      <c r="H299" s="555">
        <f>IF(Consolidado_A!$G$133&gt;=7.6%,-(0.0165+0.076)*F299,0)</f>
        <v>0</v>
      </c>
      <c r="I299" s="193"/>
      <c r="J299" s="561">
        <f t="shared" si="12"/>
        <v>0</v>
      </c>
      <c r="K299" s="193"/>
      <c r="L299" s="561">
        <f t="shared" si="13"/>
        <v>0</v>
      </c>
      <c r="M299" s="193"/>
      <c r="N299" s="561">
        <f t="shared" si="14"/>
        <v>0</v>
      </c>
    </row>
    <row r="300" spans="2:14" hidden="1">
      <c r="B300" s="745">
        <v>288</v>
      </c>
      <c r="C300" s="759"/>
      <c r="D300" s="760"/>
      <c r="E300" s="761"/>
      <c r="F300" s="762"/>
      <c r="G300" s="193"/>
      <c r="H300" s="555">
        <f>IF(Consolidado_A!$G$133&gt;=7.6%,-(0.0165+0.076)*F300,0)</f>
        <v>0</v>
      </c>
      <c r="I300" s="193"/>
      <c r="J300" s="561">
        <f t="shared" si="12"/>
        <v>0</v>
      </c>
      <c r="K300" s="193"/>
      <c r="L300" s="561">
        <f t="shared" si="13"/>
        <v>0</v>
      </c>
      <c r="M300" s="193"/>
      <c r="N300" s="561">
        <f t="shared" si="14"/>
        <v>0</v>
      </c>
    </row>
    <row r="301" spans="2:14" hidden="1">
      <c r="B301" s="745">
        <v>289</v>
      </c>
      <c r="C301" s="759"/>
      <c r="D301" s="760"/>
      <c r="E301" s="761"/>
      <c r="F301" s="762"/>
      <c r="G301" s="193"/>
      <c r="H301" s="555">
        <f>IF(Consolidado_A!$G$133&gt;=7.6%,-(0.0165+0.076)*F301,0)</f>
        <v>0</v>
      </c>
      <c r="I301" s="193"/>
      <c r="J301" s="561">
        <f t="shared" si="12"/>
        <v>0</v>
      </c>
      <c r="K301" s="193"/>
      <c r="L301" s="561">
        <f t="shared" si="13"/>
        <v>0</v>
      </c>
      <c r="M301" s="193"/>
      <c r="N301" s="561">
        <f t="shared" si="14"/>
        <v>0</v>
      </c>
    </row>
    <row r="302" spans="2:14" hidden="1">
      <c r="B302" s="745">
        <v>290</v>
      </c>
      <c r="C302" s="759"/>
      <c r="D302" s="760"/>
      <c r="E302" s="761"/>
      <c r="F302" s="762"/>
      <c r="G302" s="193"/>
      <c r="H302" s="555">
        <f>IF(Consolidado_A!$G$133&gt;=7.6%,-(0.0165+0.076)*F302,0)</f>
        <v>0</v>
      </c>
      <c r="I302" s="193"/>
      <c r="J302" s="561">
        <f t="shared" si="12"/>
        <v>0</v>
      </c>
      <c r="K302" s="193"/>
      <c r="L302" s="561">
        <f t="shared" si="13"/>
        <v>0</v>
      </c>
      <c r="M302" s="193"/>
      <c r="N302" s="561">
        <f t="shared" si="14"/>
        <v>0</v>
      </c>
    </row>
    <row r="303" spans="2:14" hidden="1">
      <c r="B303" s="745">
        <v>291</v>
      </c>
      <c r="C303" s="759"/>
      <c r="D303" s="760"/>
      <c r="E303" s="761"/>
      <c r="F303" s="762"/>
      <c r="G303" s="193"/>
      <c r="H303" s="555">
        <f>IF(Consolidado_A!$G$133&gt;=7.6%,-(0.0165+0.076)*F303,0)</f>
        <v>0</v>
      </c>
      <c r="I303" s="193"/>
      <c r="J303" s="561">
        <f t="shared" si="12"/>
        <v>0</v>
      </c>
      <c r="K303" s="193"/>
      <c r="L303" s="561">
        <f t="shared" si="13"/>
        <v>0</v>
      </c>
      <c r="M303" s="193"/>
      <c r="N303" s="561">
        <f t="shared" si="14"/>
        <v>0</v>
      </c>
    </row>
    <row r="304" spans="2:14" hidden="1">
      <c r="B304" s="745">
        <v>292</v>
      </c>
      <c r="C304" s="759"/>
      <c r="D304" s="760"/>
      <c r="E304" s="761"/>
      <c r="F304" s="762"/>
      <c r="G304" s="193"/>
      <c r="H304" s="555">
        <f>IF(Consolidado_A!$G$133&gt;=7.6%,-(0.0165+0.076)*F304,0)</f>
        <v>0</v>
      </c>
      <c r="I304" s="193"/>
      <c r="J304" s="561">
        <f t="shared" si="12"/>
        <v>0</v>
      </c>
      <c r="K304" s="193"/>
      <c r="L304" s="561">
        <f t="shared" si="13"/>
        <v>0</v>
      </c>
      <c r="M304" s="193"/>
      <c r="N304" s="561">
        <f t="shared" si="14"/>
        <v>0</v>
      </c>
    </row>
    <row r="305" spans="2:14" hidden="1">
      <c r="B305" s="745">
        <v>293</v>
      </c>
      <c r="C305" s="759"/>
      <c r="D305" s="760"/>
      <c r="E305" s="761"/>
      <c r="F305" s="762"/>
      <c r="G305" s="193"/>
      <c r="H305" s="555">
        <f>IF(Consolidado_A!$G$133&gt;=7.6%,-(0.0165+0.076)*F305,0)</f>
        <v>0</v>
      </c>
      <c r="I305" s="193"/>
      <c r="J305" s="561">
        <f t="shared" si="12"/>
        <v>0</v>
      </c>
      <c r="K305" s="193"/>
      <c r="L305" s="561">
        <f t="shared" si="13"/>
        <v>0</v>
      </c>
      <c r="M305" s="193"/>
      <c r="N305" s="561">
        <f t="shared" si="14"/>
        <v>0</v>
      </c>
    </row>
    <row r="306" spans="2:14" hidden="1">
      <c r="B306" s="745">
        <v>294</v>
      </c>
      <c r="C306" s="759"/>
      <c r="D306" s="760"/>
      <c r="E306" s="761"/>
      <c r="F306" s="762"/>
      <c r="G306" s="193"/>
      <c r="H306" s="555">
        <f>IF(Consolidado_A!$G$133&gt;=7.6%,-(0.0165+0.076)*F306,0)</f>
        <v>0</v>
      </c>
      <c r="I306" s="193"/>
      <c r="J306" s="561">
        <f t="shared" si="12"/>
        <v>0</v>
      </c>
      <c r="K306" s="193"/>
      <c r="L306" s="561">
        <f t="shared" si="13"/>
        <v>0</v>
      </c>
      <c r="M306" s="193"/>
      <c r="N306" s="561">
        <f t="shared" si="14"/>
        <v>0</v>
      </c>
    </row>
    <row r="307" spans="2:14" hidden="1">
      <c r="B307" s="745">
        <v>295</v>
      </c>
      <c r="C307" s="759"/>
      <c r="D307" s="760"/>
      <c r="E307" s="761"/>
      <c r="F307" s="762"/>
      <c r="G307" s="193"/>
      <c r="H307" s="555">
        <f>IF(Consolidado_A!$G$133&gt;=7.6%,-(0.0165+0.076)*F307,0)</f>
        <v>0</v>
      </c>
      <c r="I307" s="193"/>
      <c r="J307" s="561">
        <f t="shared" si="12"/>
        <v>0</v>
      </c>
      <c r="K307" s="193"/>
      <c r="L307" s="561">
        <f t="shared" si="13"/>
        <v>0</v>
      </c>
      <c r="M307" s="193"/>
      <c r="N307" s="561">
        <f t="shared" si="14"/>
        <v>0</v>
      </c>
    </row>
    <row r="308" spans="2:14" hidden="1">
      <c r="B308" s="745">
        <v>296</v>
      </c>
      <c r="C308" s="759"/>
      <c r="D308" s="760"/>
      <c r="E308" s="761"/>
      <c r="F308" s="762"/>
      <c r="G308" s="193"/>
      <c r="H308" s="555">
        <f>IF(Consolidado_A!$G$133&gt;=7.6%,-(0.0165+0.076)*F308,0)</f>
        <v>0</v>
      </c>
      <c r="I308" s="193"/>
      <c r="J308" s="561">
        <f t="shared" si="12"/>
        <v>0</v>
      </c>
      <c r="K308" s="193"/>
      <c r="L308" s="561">
        <f t="shared" si="13"/>
        <v>0</v>
      </c>
      <c r="M308" s="193"/>
      <c r="N308" s="561">
        <f t="shared" si="14"/>
        <v>0</v>
      </c>
    </row>
    <row r="309" spans="2:14" hidden="1">
      <c r="B309" s="745">
        <v>297</v>
      </c>
      <c r="C309" s="759"/>
      <c r="D309" s="760"/>
      <c r="E309" s="761"/>
      <c r="F309" s="762"/>
      <c r="G309" s="193"/>
      <c r="H309" s="555">
        <f>IF(Consolidado_A!$G$133&gt;=7.6%,-(0.0165+0.076)*F309,0)</f>
        <v>0</v>
      </c>
      <c r="I309" s="193"/>
      <c r="J309" s="561">
        <f t="shared" si="12"/>
        <v>0</v>
      </c>
      <c r="K309" s="193"/>
      <c r="L309" s="561">
        <f t="shared" si="13"/>
        <v>0</v>
      </c>
      <c r="M309" s="193"/>
      <c r="N309" s="561">
        <f t="shared" si="14"/>
        <v>0</v>
      </c>
    </row>
    <row r="310" spans="2:14" hidden="1">
      <c r="B310" s="745">
        <v>298</v>
      </c>
      <c r="C310" s="759"/>
      <c r="D310" s="760"/>
      <c r="E310" s="761"/>
      <c r="F310" s="762"/>
      <c r="G310" s="193"/>
      <c r="H310" s="555">
        <f>IF(Consolidado_A!$G$133&gt;=7.6%,-(0.0165+0.076)*F310,0)</f>
        <v>0</v>
      </c>
      <c r="I310" s="193"/>
      <c r="J310" s="561">
        <f t="shared" si="12"/>
        <v>0</v>
      </c>
      <c r="K310" s="193"/>
      <c r="L310" s="561">
        <f t="shared" si="13"/>
        <v>0</v>
      </c>
      <c r="M310" s="193"/>
      <c r="N310" s="561">
        <f t="shared" si="14"/>
        <v>0</v>
      </c>
    </row>
    <row r="311" spans="2:14" hidden="1">
      <c r="B311" s="745">
        <v>299</v>
      </c>
      <c r="C311" s="759"/>
      <c r="D311" s="760"/>
      <c r="E311" s="761"/>
      <c r="F311" s="762"/>
      <c r="G311" s="193"/>
      <c r="H311" s="555">
        <f>IF(Consolidado_A!$G$133&gt;=7.6%,-(0.0165+0.076)*F311,0)</f>
        <v>0</v>
      </c>
      <c r="I311" s="193"/>
      <c r="J311" s="561">
        <f t="shared" si="12"/>
        <v>0</v>
      </c>
      <c r="K311" s="193"/>
      <c r="L311" s="561">
        <f t="shared" si="13"/>
        <v>0</v>
      </c>
      <c r="M311" s="193"/>
      <c r="N311" s="561">
        <f t="shared" si="14"/>
        <v>0</v>
      </c>
    </row>
    <row r="312" spans="2:14" hidden="1">
      <c r="B312" s="745">
        <v>300</v>
      </c>
      <c r="C312" s="759"/>
      <c r="D312" s="760"/>
      <c r="E312" s="761"/>
      <c r="F312" s="762"/>
      <c r="G312" s="193"/>
      <c r="H312" s="555">
        <f>IF(Consolidado_A!$G$133&gt;=7.6%,-(0.0165+0.076)*F312,0)</f>
        <v>0</v>
      </c>
      <c r="I312" s="193"/>
      <c r="J312" s="561">
        <f t="shared" si="12"/>
        <v>0</v>
      </c>
      <c r="K312" s="193"/>
      <c r="L312" s="561">
        <f t="shared" si="13"/>
        <v>0</v>
      </c>
      <c r="M312" s="193"/>
      <c r="N312" s="561">
        <f t="shared" si="14"/>
        <v>0</v>
      </c>
    </row>
    <row r="313" spans="2:14" hidden="1">
      <c r="B313" s="745">
        <v>301</v>
      </c>
      <c r="C313" s="759"/>
      <c r="D313" s="760"/>
      <c r="E313" s="761"/>
      <c r="F313" s="762"/>
      <c r="G313" s="193"/>
      <c r="H313" s="555">
        <f>IF(Consolidado_A!$G$133&gt;=7.6%,-(0.0165+0.076)*F313,0)</f>
        <v>0</v>
      </c>
      <c r="I313" s="193"/>
      <c r="J313" s="561">
        <f t="shared" si="12"/>
        <v>0</v>
      </c>
      <c r="K313" s="193"/>
      <c r="L313" s="561">
        <f t="shared" si="13"/>
        <v>0</v>
      </c>
      <c r="M313" s="193"/>
      <c r="N313" s="561">
        <f t="shared" si="14"/>
        <v>0</v>
      </c>
    </row>
    <row r="314" spans="2:14" hidden="1">
      <c r="B314" s="745">
        <v>302</v>
      </c>
      <c r="C314" s="759"/>
      <c r="D314" s="760"/>
      <c r="E314" s="761"/>
      <c r="F314" s="762"/>
      <c r="G314" s="193"/>
      <c r="H314" s="555">
        <f>IF(Consolidado_A!$G$133&gt;=7.6%,-(0.0165+0.076)*F314,0)</f>
        <v>0</v>
      </c>
      <c r="I314" s="193"/>
      <c r="J314" s="561">
        <f t="shared" si="12"/>
        <v>0</v>
      </c>
      <c r="K314" s="193"/>
      <c r="L314" s="561">
        <f t="shared" si="13"/>
        <v>0</v>
      </c>
      <c r="M314" s="193"/>
      <c r="N314" s="561">
        <f t="shared" si="14"/>
        <v>0</v>
      </c>
    </row>
    <row r="315" spans="2:14" hidden="1">
      <c r="B315" s="745">
        <v>303</v>
      </c>
      <c r="C315" s="759"/>
      <c r="D315" s="760"/>
      <c r="E315" s="761"/>
      <c r="F315" s="762"/>
      <c r="G315" s="193"/>
      <c r="H315" s="555">
        <f>IF(Consolidado_A!$G$133&gt;=7.6%,-(0.0165+0.076)*F315,0)</f>
        <v>0</v>
      </c>
      <c r="I315" s="193"/>
      <c r="J315" s="561">
        <f t="shared" si="12"/>
        <v>0</v>
      </c>
      <c r="K315" s="193"/>
      <c r="L315" s="561">
        <f t="shared" si="13"/>
        <v>0</v>
      </c>
      <c r="M315" s="193"/>
      <c r="N315" s="561">
        <f t="shared" si="14"/>
        <v>0</v>
      </c>
    </row>
    <row r="316" spans="2:14" hidden="1">
      <c r="B316" s="745">
        <v>304</v>
      </c>
      <c r="C316" s="759"/>
      <c r="D316" s="760"/>
      <c r="E316" s="761"/>
      <c r="F316" s="762"/>
      <c r="G316" s="193"/>
      <c r="H316" s="555">
        <f>IF(Consolidado_A!$G$133&gt;=7.6%,-(0.0165+0.076)*F316,0)</f>
        <v>0</v>
      </c>
      <c r="I316" s="193"/>
      <c r="J316" s="561">
        <f t="shared" si="12"/>
        <v>0</v>
      </c>
      <c r="K316" s="193"/>
      <c r="L316" s="561">
        <f t="shared" si="13"/>
        <v>0</v>
      </c>
      <c r="M316" s="193"/>
      <c r="N316" s="561">
        <f t="shared" si="14"/>
        <v>0</v>
      </c>
    </row>
    <row r="317" spans="2:14" hidden="1">
      <c r="B317" s="745">
        <v>305</v>
      </c>
      <c r="C317" s="759"/>
      <c r="D317" s="760"/>
      <c r="E317" s="761"/>
      <c r="F317" s="762"/>
      <c r="G317" s="193"/>
      <c r="H317" s="555">
        <f>IF(Consolidado_A!$G$133&gt;=7.6%,-(0.0165+0.076)*F317,0)</f>
        <v>0</v>
      </c>
      <c r="I317" s="193"/>
      <c r="J317" s="561">
        <f t="shared" si="12"/>
        <v>0</v>
      </c>
      <c r="K317" s="193"/>
      <c r="L317" s="561">
        <f t="shared" si="13"/>
        <v>0</v>
      </c>
      <c r="M317" s="193"/>
      <c r="N317" s="561">
        <f t="shared" si="14"/>
        <v>0</v>
      </c>
    </row>
    <row r="318" spans="2:14" hidden="1">
      <c r="B318" s="745">
        <v>306</v>
      </c>
      <c r="C318" s="759"/>
      <c r="D318" s="760"/>
      <c r="E318" s="761"/>
      <c r="F318" s="762"/>
      <c r="G318" s="193"/>
      <c r="H318" s="555">
        <f>IF(Consolidado_A!$G$133&gt;=7.6%,-(0.0165+0.076)*F318,0)</f>
        <v>0</v>
      </c>
      <c r="I318" s="193"/>
      <c r="J318" s="561">
        <f t="shared" si="12"/>
        <v>0</v>
      </c>
      <c r="K318" s="193"/>
      <c r="L318" s="561">
        <f t="shared" si="13"/>
        <v>0</v>
      </c>
      <c r="M318" s="193"/>
      <c r="N318" s="561">
        <f t="shared" si="14"/>
        <v>0</v>
      </c>
    </row>
    <row r="319" spans="2:14" hidden="1">
      <c r="B319" s="745">
        <v>307</v>
      </c>
      <c r="C319" s="759"/>
      <c r="D319" s="760"/>
      <c r="E319" s="761"/>
      <c r="F319" s="762"/>
      <c r="G319" s="193"/>
      <c r="H319" s="555">
        <f>IF(Consolidado_A!$G$133&gt;=7.6%,-(0.0165+0.076)*F319,0)</f>
        <v>0</v>
      </c>
      <c r="I319" s="193"/>
      <c r="J319" s="561">
        <f t="shared" si="12"/>
        <v>0</v>
      </c>
      <c r="K319" s="193"/>
      <c r="L319" s="561">
        <f t="shared" si="13"/>
        <v>0</v>
      </c>
      <c r="M319" s="193"/>
      <c r="N319" s="561">
        <f t="shared" si="14"/>
        <v>0</v>
      </c>
    </row>
    <row r="320" spans="2:14" hidden="1">
      <c r="B320" s="745">
        <v>308</v>
      </c>
      <c r="C320" s="759"/>
      <c r="D320" s="760"/>
      <c r="E320" s="761"/>
      <c r="F320" s="762"/>
      <c r="G320" s="193"/>
      <c r="H320" s="555">
        <f>IF(Consolidado_A!$G$133&gt;=7.6%,-(0.0165+0.076)*F320,0)</f>
        <v>0</v>
      </c>
      <c r="I320" s="193"/>
      <c r="J320" s="561">
        <f t="shared" si="12"/>
        <v>0</v>
      </c>
      <c r="K320" s="193"/>
      <c r="L320" s="561">
        <f t="shared" si="13"/>
        <v>0</v>
      </c>
      <c r="M320" s="193"/>
      <c r="N320" s="561">
        <f t="shared" si="14"/>
        <v>0</v>
      </c>
    </row>
    <row r="321" spans="2:14" hidden="1">
      <c r="B321" s="745">
        <v>309</v>
      </c>
      <c r="C321" s="759"/>
      <c r="D321" s="760"/>
      <c r="E321" s="761"/>
      <c r="F321" s="762"/>
      <c r="G321" s="193"/>
      <c r="H321" s="555">
        <f>IF(Consolidado_A!$G$133&gt;=7.6%,-(0.0165+0.076)*F321,0)</f>
        <v>0</v>
      </c>
      <c r="I321" s="193"/>
      <c r="J321" s="561">
        <f t="shared" si="12"/>
        <v>0</v>
      </c>
      <c r="K321" s="193"/>
      <c r="L321" s="561">
        <f t="shared" si="13"/>
        <v>0</v>
      </c>
      <c r="M321" s="193"/>
      <c r="N321" s="561">
        <f t="shared" si="14"/>
        <v>0</v>
      </c>
    </row>
    <row r="322" spans="2:14" hidden="1">
      <c r="B322" s="745">
        <v>310</v>
      </c>
      <c r="C322" s="759"/>
      <c r="D322" s="760"/>
      <c r="E322" s="761"/>
      <c r="F322" s="762"/>
      <c r="G322" s="193"/>
      <c r="H322" s="555">
        <f>IF(Consolidado_A!$G$133&gt;=7.6%,-(0.0165+0.076)*F322,0)</f>
        <v>0</v>
      </c>
      <c r="I322" s="193"/>
      <c r="J322" s="561">
        <f t="shared" si="12"/>
        <v>0</v>
      </c>
      <c r="K322" s="193"/>
      <c r="L322" s="561">
        <f t="shared" si="13"/>
        <v>0</v>
      </c>
      <c r="M322" s="193"/>
      <c r="N322" s="561">
        <f t="shared" si="14"/>
        <v>0</v>
      </c>
    </row>
    <row r="323" spans="2:14" hidden="1">
      <c r="B323" s="745">
        <v>311</v>
      </c>
      <c r="C323" s="759"/>
      <c r="D323" s="760"/>
      <c r="E323" s="761"/>
      <c r="F323" s="762"/>
      <c r="G323" s="193"/>
      <c r="H323" s="555">
        <f>IF(Consolidado_A!$G$133&gt;=7.6%,-(0.0165+0.076)*F323,0)</f>
        <v>0</v>
      </c>
      <c r="I323" s="193"/>
      <c r="J323" s="561">
        <f t="shared" si="12"/>
        <v>0</v>
      </c>
      <c r="K323" s="193"/>
      <c r="L323" s="561">
        <f t="shared" si="13"/>
        <v>0</v>
      </c>
      <c r="M323" s="193"/>
      <c r="N323" s="561">
        <f t="shared" si="14"/>
        <v>0</v>
      </c>
    </row>
    <row r="324" spans="2:14" hidden="1">
      <c r="B324" s="745">
        <v>312</v>
      </c>
      <c r="C324" s="759"/>
      <c r="D324" s="760"/>
      <c r="E324" s="761"/>
      <c r="F324" s="762"/>
      <c r="G324" s="193"/>
      <c r="H324" s="555">
        <f>IF(Consolidado_A!$G$133&gt;=7.6%,-(0.0165+0.076)*F324,0)</f>
        <v>0</v>
      </c>
      <c r="I324" s="193"/>
      <c r="J324" s="561">
        <f t="shared" si="12"/>
        <v>0</v>
      </c>
      <c r="K324" s="193"/>
      <c r="L324" s="561">
        <f t="shared" si="13"/>
        <v>0</v>
      </c>
      <c r="M324" s="193"/>
      <c r="N324" s="561">
        <f t="shared" si="14"/>
        <v>0</v>
      </c>
    </row>
    <row r="325" spans="2:14" hidden="1">
      <c r="B325" s="745">
        <v>313</v>
      </c>
      <c r="C325" s="759"/>
      <c r="D325" s="760"/>
      <c r="E325" s="761"/>
      <c r="F325" s="762"/>
      <c r="G325" s="193"/>
      <c r="H325" s="555">
        <f>IF(Consolidado_A!$G$133&gt;=7.6%,-(0.0165+0.076)*F325,0)</f>
        <v>0</v>
      </c>
      <c r="I325" s="193"/>
      <c r="J325" s="561">
        <f t="shared" si="12"/>
        <v>0</v>
      </c>
      <c r="K325" s="193"/>
      <c r="L325" s="561">
        <f t="shared" si="13"/>
        <v>0</v>
      </c>
      <c r="M325" s="193"/>
      <c r="N325" s="561">
        <f t="shared" si="14"/>
        <v>0</v>
      </c>
    </row>
    <row r="326" spans="2:14" hidden="1">
      <c r="B326" s="745">
        <v>314</v>
      </c>
      <c r="C326" s="759"/>
      <c r="D326" s="760"/>
      <c r="E326" s="761"/>
      <c r="F326" s="762"/>
      <c r="G326" s="193"/>
      <c r="H326" s="555">
        <f>IF(Consolidado_A!$G$133&gt;=7.6%,-(0.0165+0.076)*F326,0)</f>
        <v>0</v>
      </c>
      <c r="I326" s="193"/>
      <c r="J326" s="561">
        <f t="shared" si="12"/>
        <v>0</v>
      </c>
      <c r="K326" s="193"/>
      <c r="L326" s="561">
        <f t="shared" si="13"/>
        <v>0</v>
      </c>
      <c r="M326" s="193"/>
      <c r="N326" s="561">
        <f t="shared" si="14"/>
        <v>0</v>
      </c>
    </row>
    <row r="327" spans="2:14" hidden="1">
      <c r="B327" s="745">
        <v>315</v>
      </c>
      <c r="C327" s="759"/>
      <c r="D327" s="760"/>
      <c r="E327" s="761"/>
      <c r="F327" s="762"/>
      <c r="G327" s="193"/>
      <c r="H327" s="555">
        <f>IF(Consolidado_A!$G$133&gt;=7.6%,-(0.0165+0.076)*F327,0)</f>
        <v>0</v>
      </c>
      <c r="I327" s="193"/>
      <c r="J327" s="561">
        <f t="shared" si="12"/>
        <v>0</v>
      </c>
      <c r="K327" s="193"/>
      <c r="L327" s="561">
        <f t="shared" si="13"/>
        <v>0</v>
      </c>
      <c r="M327" s="193"/>
      <c r="N327" s="561">
        <f t="shared" si="14"/>
        <v>0</v>
      </c>
    </row>
    <row r="328" spans="2:14" hidden="1">
      <c r="B328" s="745">
        <v>316</v>
      </c>
      <c r="C328" s="759"/>
      <c r="D328" s="760"/>
      <c r="E328" s="761"/>
      <c r="F328" s="762"/>
      <c r="G328" s="193"/>
      <c r="H328" s="555">
        <f>IF(Consolidado_A!$G$133&gt;=7.6%,-(0.0165+0.076)*F328,0)</f>
        <v>0</v>
      </c>
      <c r="I328" s="193"/>
      <c r="J328" s="561">
        <f t="shared" si="12"/>
        <v>0</v>
      </c>
      <c r="K328" s="193"/>
      <c r="L328" s="561">
        <f t="shared" si="13"/>
        <v>0</v>
      </c>
      <c r="M328" s="193"/>
      <c r="N328" s="561">
        <f t="shared" si="14"/>
        <v>0</v>
      </c>
    </row>
    <row r="329" spans="2:14" hidden="1">
      <c r="B329" s="745">
        <v>317</v>
      </c>
      <c r="C329" s="759"/>
      <c r="D329" s="760"/>
      <c r="E329" s="761"/>
      <c r="F329" s="762"/>
      <c r="G329" s="193"/>
      <c r="H329" s="555">
        <f>IF(Consolidado_A!$G$133&gt;=7.6%,-(0.0165+0.076)*F329,0)</f>
        <v>0</v>
      </c>
      <c r="I329" s="193"/>
      <c r="J329" s="561">
        <f t="shared" si="12"/>
        <v>0</v>
      </c>
      <c r="K329" s="193"/>
      <c r="L329" s="561">
        <f t="shared" si="13"/>
        <v>0</v>
      </c>
      <c r="M329" s="193"/>
      <c r="N329" s="561">
        <f t="shared" si="14"/>
        <v>0</v>
      </c>
    </row>
    <row r="330" spans="2:14" hidden="1">
      <c r="B330" s="745">
        <v>318</v>
      </c>
      <c r="C330" s="759"/>
      <c r="D330" s="760"/>
      <c r="E330" s="761"/>
      <c r="F330" s="762"/>
      <c r="G330" s="193"/>
      <c r="H330" s="555">
        <f>IF(Consolidado_A!$G$133&gt;=7.6%,-(0.0165+0.076)*F330,0)</f>
        <v>0</v>
      </c>
      <c r="I330" s="193"/>
      <c r="J330" s="561">
        <f t="shared" si="12"/>
        <v>0</v>
      </c>
      <c r="K330" s="193"/>
      <c r="L330" s="561">
        <f t="shared" si="13"/>
        <v>0</v>
      </c>
      <c r="M330" s="193"/>
      <c r="N330" s="561">
        <f t="shared" si="14"/>
        <v>0</v>
      </c>
    </row>
    <row r="331" spans="2:14" hidden="1">
      <c r="B331" s="745">
        <v>319</v>
      </c>
      <c r="C331" s="759"/>
      <c r="D331" s="760"/>
      <c r="E331" s="761"/>
      <c r="F331" s="762"/>
      <c r="G331" s="193"/>
      <c r="H331" s="555">
        <f>IF(Consolidado_A!$G$133&gt;=7.6%,-(0.0165+0.076)*F331,0)</f>
        <v>0</v>
      </c>
      <c r="I331" s="193"/>
      <c r="J331" s="561">
        <f t="shared" si="12"/>
        <v>0</v>
      </c>
      <c r="K331" s="193"/>
      <c r="L331" s="561">
        <f t="shared" si="13"/>
        <v>0</v>
      </c>
      <c r="M331" s="193"/>
      <c r="N331" s="561">
        <f t="shared" si="14"/>
        <v>0</v>
      </c>
    </row>
    <row r="332" spans="2:14" hidden="1">
      <c r="B332" s="745">
        <v>320</v>
      </c>
      <c r="C332" s="759"/>
      <c r="D332" s="760"/>
      <c r="E332" s="761"/>
      <c r="F332" s="762"/>
      <c r="G332" s="193"/>
      <c r="H332" s="555">
        <f>IF(Consolidado_A!$G$133&gt;=7.6%,-(0.0165+0.076)*F332,0)</f>
        <v>0</v>
      </c>
      <c r="I332" s="193"/>
      <c r="J332" s="561">
        <f t="shared" si="12"/>
        <v>0</v>
      </c>
      <c r="K332" s="193"/>
      <c r="L332" s="561">
        <f t="shared" si="13"/>
        <v>0</v>
      </c>
      <c r="M332" s="193"/>
      <c r="N332" s="561">
        <f t="shared" si="14"/>
        <v>0</v>
      </c>
    </row>
    <row r="333" spans="2:14" hidden="1">
      <c r="B333" s="745">
        <v>321</v>
      </c>
      <c r="C333" s="759"/>
      <c r="D333" s="760"/>
      <c r="E333" s="761"/>
      <c r="F333" s="762"/>
      <c r="G333" s="193"/>
      <c r="H333" s="555">
        <f>IF(Consolidado_A!$G$133&gt;=7.6%,-(0.0165+0.076)*F333,0)</f>
        <v>0</v>
      </c>
      <c r="I333" s="193"/>
      <c r="J333" s="561">
        <f t="shared" ref="J333:J396" si="15">F333+H333</f>
        <v>0</v>
      </c>
      <c r="K333" s="193"/>
      <c r="L333" s="561">
        <f t="shared" ref="L333:L396" si="16">J333*E333</f>
        <v>0</v>
      </c>
      <c r="M333" s="193"/>
      <c r="N333" s="561">
        <f t="shared" ref="N333:N396" si="17">L333*12</f>
        <v>0</v>
      </c>
    </row>
    <row r="334" spans="2:14" hidden="1">
      <c r="B334" s="745">
        <v>322</v>
      </c>
      <c r="C334" s="759"/>
      <c r="D334" s="760"/>
      <c r="E334" s="761"/>
      <c r="F334" s="762"/>
      <c r="G334" s="193"/>
      <c r="H334" s="555">
        <f>IF(Consolidado_A!$G$133&gt;=7.6%,-(0.0165+0.076)*F334,0)</f>
        <v>0</v>
      </c>
      <c r="I334" s="193"/>
      <c r="J334" s="561">
        <f t="shared" si="15"/>
        <v>0</v>
      </c>
      <c r="K334" s="193"/>
      <c r="L334" s="561">
        <f t="shared" si="16"/>
        <v>0</v>
      </c>
      <c r="M334" s="193"/>
      <c r="N334" s="561">
        <f t="shared" si="17"/>
        <v>0</v>
      </c>
    </row>
    <row r="335" spans="2:14" hidden="1">
      <c r="B335" s="745">
        <v>323</v>
      </c>
      <c r="C335" s="759"/>
      <c r="D335" s="760"/>
      <c r="E335" s="761"/>
      <c r="F335" s="762"/>
      <c r="G335" s="193"/>
      <c r="H335" s="555">
        <f>IF(Consolidado_A!$G$133&gt;=7.6%,-(0.0165+0.076)*F335,0)</f>
        <v>0</v>
      </c>
      <c r="I335" s="193"/>
      <c r="J335" s="561">
        <f t="shared" si="15"/>
        <v>0</v>
      </c>
      <c r="K335" s="193"/>
      <c r="L335" s="561">
        <f t="shared" si="16"/>
        <v>0</v>
      </c>
      <c r="M335" s="193"/>
      <c r="N335" s="561">
        <f t="shared" si="17"/>
        <v>0</v>
      </c>
    </row>
    <row r="336" spans="2:14" hidden="1">
      <c r="B336" s="745">
        <v>324</v>
      </c>
      <c r="C336" s="759"/>
      <c r="D336" s="760"/>
      <c r="E336" s="761"/>
      <c r="F336" s="762"/>
      <c r="G336" s="193"/>
      <c r="H336" s="555">
        <f>IF(Consolidado_A!$G$133&gt;=7.6%,-(0.0165+0.076)*F336,0)</f>
        <v>0</v>
      </c>
      <c r="I336" s="193"/>
      <c r="J336" s="561">
        <f t="shared" si="15"/>
        <v>0</v>
      </c>
      <c r="K336" s="193"/>
      <c r="L336" s="561">
        <f t="shared" si="16"/>
        <v>0</v>
      </c>
      <c r="M336" s="193"/>
      <c r="N336" s="561">
        <f t="shared" si="17"/>
        <v>0</v>
      </c>
    </row>
    <row r="337" spans="2:14" hidden="1">
      <c r="B337" s="745">
        <v>325</v>
      </c>
      <c r="C337" s="759"/>
      <c r="D337" s="760"/>
      <c r="E337" s="761"/>
      <c r="F337" s="762"/>
      <c r="G337" s="193"/>
      <c r="H337" s="555">
        <f>IF(Consolidado_A!$G$133&gt;=7.6%,-(0.0165+0.076)*F337,0)</f>
        <v>0</v>
      </c>
      <c r="I337" s="193"/>
      <c r="J337" s="561">
        <f t="shared" si="15"/>
        <v>0</v>
      </c>
      <c r="K337" s="193"/>
      <c r="L337" s="561">
        <f t="shared" si="16"/>
        <v>0</v>
      </c>
      <c r="M337" s="193"/>
      <c r="N337" s="561">
        <f t="shared" si="17"/>
        <v>0</v>
      </c>
    </row>
    <row r="338" spans="2:14" hidden="1">
      <c r="B338" s="745">
        <v>326</v>
      </c>
      <c r="C338" s="759"/>
      <c r="D338" s="760"/>
      <c r="E338" s="761"/>
      <c r="F338" s="762"/>
      <c r="G338" s="193"/>
      <c r="H338" s="555">
        <f>IF(Consolidado_A!$G$133&gt;=7.6%,-(0.0165+0.076)*F338,0)</f>
        <v>0</v>
      </c>
      <c r="I338" s="193"/>
      <c r="J338" s="561">
        <f t="shared" si="15"/>
        <v>0</v>
      </c>
      <c r="K338" s="193"/>
      <c r="L338" s="561">
        <f t="shared" si="16"/>
        <v>0</v>
      </c>
      <c r="M338" s="193"/>
      <c r="N338" s="561">
        <f t="shared" si="17"/>
        <v>0</v>
      </c>
    </row>
    <row r="339" spans="2:14" hidden="1">
      <c r="B339" s="745">
        <v>327</v>
      </c>
      <c r="C339" s="759"/>
      <c r="D339" s="760"/>
      <c r="E339" s="761"/>
      <c r="F339" s="762"/>
      <c r="G339" s="193"/>
      <c r="H339" s="555">
        <f>IF(Consolidado_A!$G$133&gt;=7.6%,-(0.0165+0.076)*F339,0)</f>
        <v>0</v>
      </c>
      <c r="I339" s="193"/>
      <c r="J339" s="561">
        <f t="shared" si="15"/>
        <v>0</v>
      </c>
      <c r="K339" s="193"/>
      <c r="L339" s="561">
        <f t="shared" si="16"/>
        <v>0</v>
      </c>
      <c r="M339" s="193"/>
      <c r="N339" s="561">
        <f t="shared" si="17"/>
        <v>0</v>
      </c>
    </row>
    <row r="340" spans="2:14" hidden="1">
      <c r="B340" s="745">
        <v>328</v>
      </c>
      <c r="C340" s="759"/>
      <c r="D340" s="760"/>
      <c r="E340" s="761"/>
      <c r="F340" s="762"/>
      <c r="G340" s="193"/>
      <c r="H340" s="555">
        <f>IF(Consolidado_A!$G$133&gt;=7.6%,-(0.0165+0.076)*F340,0)</f>
        <v>0</v>
      </c>
      <c r="I340" s="193"/>
      <c r="J340" s="561">
        <f t="shared" si="15"/>
        <v>0</v>
      </c>
      <c r="K340" s="193"/>
      <c r="L340" s="561">
        <f t="shared" si="16"/>
        <v>0</v>
      </c>
      <c r="M340" s="193"/>
      <c r="N340" s="561">
        <f t="shared" si="17"/>
        <v>0</v>
      </c>
    </row>
    <row r="341" spans="2:14" hidden="1">
      <c r="B341" s="745">
        <v>329</v>
      </c>
      <c r="C341" s="759"/>
      <c r="D341" s="760"/>
      <c r="E341" s="761"/>
      <c r="F341" s="762"/>
      <c r="G341" s="193"/>
      <c r="H341" s="555">
        <f>IF(Consolidado_A!$G$133&gt;=7.6%,-(0.0165+0.076)*F341,0)</f>
        <v>0</v>
      </c>
      <c r="I341" s="193"/>
      <c r="J341" s="561">
        <f t="shared" si="15"/>
        <v>0</v>
      </c>
      <c r="K341" s="193"/>
      <c r="L341" s="561">
        <f t="shared" si="16"/>
        <v>0</v>
      </c>
      <c r="M341" s="193"/>
      <c r="N341" s="561">
        <f t="shared" si="17"/>
        <v>0</v>
      </c>
    </row>
    <row r="342" spans="2:14" hidden="1">
      <c r="B342" s="745">
        <v>330</v>
      </c>
      <c r="C342" s="759"/>
      <c r="D342" s="760"/>
      <c r="E342" s="761"/>
      <c r="F342" s="762"/>
      <c r="G342" s="193"/>
      <c r="H342" s="555">
        <f>IF(Consolidado_A!$G$133&gt;=7.6%,-(0.0165+0.076)*F342,0)</f>
        <v>0</v>
      </c>
      <c r="I342" s="193"/>
      <c r="J342" s="561">
        <f t="shared" si="15"/>
        <v>0</v>
      </c>
      <c r="K342" s="193"/>
      <c r="L342" s="561">
        <f t="shared" si="16"/>
        <v>0</v>
      </c>
      <c r="M342" s="193"/>
      <c r="N342" s="561">
        <f t="shared" si="17"/>
        <v>0</v>
      </c>
    </row>
    <row r="343" spans="2:14" hidden="1">
      <c r="B343" s="745">
        <v>331</v>
      </c>
      <c r="C343" s="759"/>
      <c r="D343" s="760"/>
      <c r="E343" s="761"/>
      <c r="F343" s="762"/>
      <c r="G343" s="193"/>
      <c r="H343" s="555">
        <f>IF(Consolidado_A!$G$133&gt;=7.6%,-(0.0165+0.076)*F343,0)</f>
        <v>0</v>
      </c>
      <c r="I343" s="193"/>
      <c r="J343" s="561">
        <f t="shared" si="15"/>
        <v>0</v>
      </c>
      <c r="K343" s="193"/>
      <c r="L343" s="561">
        <f t="shared" si="16"/>
        <v>0</v>
      </c>
      <c r="M343" s="193"/>
      <c r="N343" s="561">
        <f t="shared" si="17"/>
        <v>0</v>
      </c>
    </row>
    <row r="344" spans="2:14" hidden="1">
      <c r="B344" s="745">
        <v>332</v>
      </c>
      <c r="C344" s="759"/>
      <c r="D344" s="760"/>
      <c r="E344" s="761"/>
      <c r="F344" s="762"/>
      <c r="G344" s="193"/>
      <c r="H344" s="555">
        <f>IF(Consolidado_A!$G$133&gt;=7.6%,-(0.0165+0.076)*F344,0)</f>
        <v>0</v>
      </c>
      <c r="I344" s="193"/>
      <c r="J344" s="561">
        <f t="shared" si="15"/>
        <v>0</v>
      </c>
      <c r="K344" s="193"/>
      <c r="L344" s="561">
        <f t="shared" si="16"/>
        <v>0</v>
      </c>
      <c r="M344" s="193"/>
      <c r="N344" s="561">
        <f t="shared" si="17"/>
        <v>0</v>
      </c>
    </row>
    <row r="345" spans="2:14" hidden="1">
      <c r="B345" s="745">
        <v>333</v>
      </c>
      <c r="C345" s="759"/>
      <c r="D345" s="760"/>
      <c r="E345" s="761"/>
      <c r="F345" s="762"/>
      <c r="G345" s="193"/>
      <c r="H345" s="555">
        <f>IF(Consolidado_A!$G$133&gt;=7.6%,-(0.0165+0.076)*F345,0)</f>
        <v>0</v>
      </c>
      <c r="I345" s="193"/>
      <c r="J345" s="561">
        <f t="shared" si="15"/>
        <v>0</v>
      </c>
      <c r="K345" s="193"/>
      <c r="L345" s="561">
        <f t="shared" si="16"/>
        <v>0</v>
      </c>
      <c r="M345" s="193"/>
      <c r="N345" s="561">
        <f t="shared" si="17"/>
        <v>0</v>
      </c>
    </row>
    <row r="346" spans="2:14" hidden="1">
      <c r="B346" s="745">
        <v>334</v>
      </c>
      <c r="C346" s="759"/>
      <c r="D346" s="760"/>
      <c r="E346" s="761"/>
      <c r="F346" s="762"/>
      <c r="G346" s="193"/>
      <c r="H346" s="555">
        <f>IF(Consolidado_A!$G$133&gt;=7.6%,-(0.0165+0.076)*F346,0)</f>
        <v>0</v>
      </c>
      <c r="I346" s="193"/>
      <c r="J346" s="561">
        <f t="shared" si="15"/>
        <v>0</v>
      </c>
      <c r="K346" s="193"/>
      <c r="L346" s="561">
        <f t="shared" si="16"/>
        <v>0</v>
      </c>
      <c r="M346" s="193"/>
      <c r="N346" s="561">
        <f t="shared" si="17"/>
        <v>0</v>
      </c>
    </row>
    <row r="347" spans="2:14" hidden="1">
      <c r="B347" s="745">
        <v>335</v>
      </c>
      <c r="C347" s="759"/>
      <c r="D347" s="760"/>
      <c r="E347" s="761"/>
      <c r="F347" s="762"/>
      <c r="G347" s="193"/>
      <c r="H347" s="555">
        <f>IF(Consolidado_A!$G$133&gt;=7.6%,-(0.0165+0.076)*F347,0)</f>
        <v>0</v>
      </c>
      <c r="I347" s="193"/>
      <c r="J347" s="561">
        <f t="shared" si="15"/>
        <v>0</v>
      </c>
      <c r="K347" s="193"/>
      <c r="L347" s="561">
        <f t="shared" si="16"/>
        <v>0</v>
      </c>
      <c r="M347" s="193"/>
      <c r="N347" s="561">
        <f t="shared" si="17"/>
        <v>0</v>
      </c>
    </row>
    <row r="348" spans="2:14" hidden="1">
      <c r="B348" s="745">
        <v>336</v>
      </c>
      <c r="C348" s="759"/>
      <c r="D348" s="760"/>
      <c r="E348" s="761"/>
      <c r="F348" s="762"/>
      <c r="G348" s="193"/>
      <c r="H348" s="555">
        <f>IF(Consolidado_A!$G$133&gt;=7.6%,-(0.0165+0.076)*F348,0)</f>
        <v>0</v>
      </c>
      <c r="I348" s="193"/>
      <c r="J348" s="561">
        <f t="shared" si="15"/>
        <v>0</v>
      </c>
      <c r="K348" s="193"/>
      <c r="L348" s="561">
        <f t="shared" si="16"/>
        <v>0</v>
      </c>
      <c r="M348" s="193"/>
      <c r="N348" s="561">
        <f t="shared" si="17"/>
        <v>0</v>
      </c>
    </row>
    <row r="349" spans="2:14" hidden="1">
      <c r="B349" s="745">
        <v>337</v>
      </c>
      <c r="C349" s="759"/>
      <c r="D349" s="760"/>
      <c r="E349" s="761"/>
      <c r="F349" s="762"/>
      <c r="G349" s="193"/>
      <c r="H349" s="555">
        <f>IF(Consolidado_A!$G$133&gt;=7.6%,-(0.0165+0.076)*F349,0)</f>
        <v>0</v>
      </c>
      <c r="I349" s="193"/>
      <c r="J349" s="561">
        <f t="shared" si="15"/>
        <v>0</v>
      </c>
      <c r="K349" s="193"/>
      <c r="L349" s="561">
        <f t="shared" si="16"/>
        <v>0</v>
      </c>
      <c r="M349" s="193"/>
      <c r="N349" s="561">
        <f t="shared" si="17"/>
        <v>0</v>
      </c>
    </row>
    <row r="350" spans="2:14" hidden="1">
      <c r="B350" s="745">
        <v>338</v>
      </c>
      <c r="C350" s="759"/>
      <c r="D350" s="760"/>
      <c r="E350" s="761"/>
      <c r="F350" s="762"/>
      <c r="G350" s="193"/>
      <c r="H350" s="555">
        <f>IF(Consolidado_A!$G$133&gt;=7.6%,-(0.0165+0.076)*F350,0)</f>
        <v>0</v>
      </c>
      <c r="I350" s="193"/>
      <c r="J350" s="561">
        <f t="shared" si="15"/>
        <v>0</v>
      </c>
      <c r="K350" s="193"/>
      <c r="L350" s="561">
        <f t="shared" si="16"/>
        <v>0</v>
      </c>
      <c r="M350" s="193"/>
      <c r="N350" s="561">
        <f t="shared" si="17"/>
        <v>0</v>
      </c>
    </row>
    <row r="351" spans="2:14" hidden="1">
      <c r="B351" s="745">
        <v>339</v>
      </c>
      <c r="C351" s="759"/>
      <c r="D351" s="760"/>
      <c r="E351" s="761"/>
      <c r="F351" s="762"/>
      <c r="G351" s="193"/>
      <c r="H351" s="555">
        <f>IF(Consolidado_A!$G$133&gt;=7.6%,-(0.0165+0.076)*F351,0)</f>
        <v>0</v>
      </c>
      <c r="I351" s="193"/>
      <c r="J351" s="561">
        <f t="shared" si="15"/>
        <v>0</v>
      </c>
      <c r="K351" s="193"/>
      <c r="L351" s="561">
        <f t="shared" si="16"/>
        <v>0</v>
      </c>
      <c r="M351" s="193"/>
      <c r="N351" s="561">
        <f t="shared" si="17"/>
        <v>0</v>
      </c>
    </row>
    <row r="352" spans="2:14" hidden="1">
      <c r="B352" s="745">
        <v>340</v>
      </c>
      <c r="C352" s="759"/>
      <c r="D352" s="760"/>
      <c r="E352" s="761"/>
      <c r="F352" s="762"/>
      <c r="G352" s="193"/>
      <c r="H352" s="555">
        <f>IF(Consolidado_A!$G$133&gt;=7.6%,-(0.0165+0.076)*F352,0)</f>
        <v>0</v>
      </c>
      <c r="I352" s="193"/>
      <c r="J352" s="561">
        <f t="shared" si="15"/>
        <v>0</v>
      </c>
      <c r="K352" s="193"/>
      <c r="L352" s="561">
        <f t="shared" si="16"/>
        <v>0</v>
      </c>
      <c r="M352" s="193"/>
      <c r="N352" s="561">
        <f t="shared" si="17"/>
        <v>0</v>
      </c>
    </row>
    <row r="353" spans="2:14" hidden="1">
      <c r="B353" s="745">
        <v>341</v>
      </c>
      <c r="C353" s="759"/>
      <c r="D353" s="760"/>
      <c r="E353" s="761"/>
      <c r="F353" s="762"/>
      <c r="G353" s="193"/>
      <c r="H353" s="555">
        <f>IF(Consolidado_A!$G$133&gt;=7.6%,-(0.0165+0.076)*F353,0)</f>
        <v>0</v>
      </c>
      <c r="I353" s="193"/>
      <c r="J353" s="561">
        <f t="shared" si="15"/>
        <v>0</v>
      </c>
      <c r="K353" s="193"/>
      <c r="L353" s="561">
        <f t="shared" si="16"/>
        <v>0</v>
      </c>
      <c r="M353" s="193"/>
      <c r="N353" s="561">
        <f t="shared" si="17"/>
        <v>0</v>
      </c>
    </row>
    <row r="354" spans="2:14" hidden="1">
      <c r="B354" s="745">
        <v>342</v>
      </c>
      <c r="C354" s="759"/>
      <c r="D354" s="760"/>
      <c r="E354" s="761"/>
      <c r="F354" s="762"/>
      <c r="G354" s="193"/>
      <c r="H354" s="555">
        <f>IF(Consolidado_A!$G$133&gt;=7.6%,-(0.0165+0.076)*F354,0)</f>
        <v>0</v>
      </c>
      <c r="I354" s="193"/>
      <c r="J354" s="561">
        <f t="shared" si="15"/>
        <v>0</v>
      </c>
      <c r="K354" s="193"/>
      <c r="L354" s="561">
        <f t="shared" si="16"/>
        <v>0</v>
      </c>
      <c r="M354" s="193"/>
      <c r="N354" s="561">
        <f t="shared" si="17"/>
        <v>0</v>
      </c>
    </row>
    <row r="355" spans="2:14" hidden="1">
      <c r="B355" s="745">
        <v>343</v>
      </c>
      <c r="C355" s="759"/>
      <c r="D355" s="760"/>
      <c r="E355" s="761"/>
      <c r="F355" s="762"/>
      <c r="G355" s="193"/>
      <c r="H355" s="555">
        <f>IF(Consolidado_A!$G$133&gt;=7.6%,-(0.0165+0.076)*F355,0)</f>
        <v>0</v>
      </c>
      <c r="I355" s="193"/>
      <c r="J355" s="561">
        <f t="shared" si="15"/>
        <v>0</v>
      </c>
      <c r="K355" s="193"/>
      <c r="L355" s="561">
        <f t="shared" si="16"/>
        <v>0</v>
      </c>
      <c r="M355" s="193"/>
      <c r="N355" s="561">
        <f t="shared" si="17"/>
        <v>0</v>
      </c>
    </row>
    <row r="356" spans="2:14" hidden="1">
      <c r="B356" s="745">
        <v>344</v>
      </c>
      <c r="C356" s="759"/>
      <c r="D356" s="760"/>
      <c r="E356" s="761"/>
      <c r="F356" s="762"/>
      <c r="G356" s="193"/>
      <c r="H356" s="555">
        <f>IF(Consolidado_A!$G$133&gt;=7.6%,-(0.0165+0.076)*F356,0)</f>
        <v>0</v>
      </c>
      <c r="I356" s="193"/>
      <c r="J356" s="561">
        <f t="shared" si="15"/>
        <v>0</v>
      </c>
      <c r="K356" s="193"/>
      <c r="L356" s="561">
        <f t="shared" si="16"/>
        <v>0</v>
      </c>
      <c r="M356" s="193"/>
      <c r="N356" s="561">
        <f t="shared" si="17"/>
        <v>0</v>
      </c>
    </row>
    <row r="357" spans="2:14" hidden="1">
      <c r="B357" s="745">
        <v>345</v>
      </c>
      <c r="C357" s="759"/>
      <c r="D357" s="760"/>
      <c r="E357" s="761"/>
      <c r="F357" s="762"/>
      <c r="G357" s="193"/>
      <c r="H357" s="555">
        <f>IF(Consolidado_A!$G$133&gt;=7.6%,-(0.0165+0.076)*F357,0)</f>
        <v>0</v>
      </c>
      <c r="I357" s="193"/>
      <c r="J357" s="561">
        <f t="shared" si="15"/>
        <v>0</v>
      </c>
      <c r="K357" s="193"/>
      <c r="L357" s="561">
        <f t="shared" si="16"/>
        <v>0</v>
      </c>
      <c r="M357" s="193"/>
      <c r="N357" s="561">
        <f t="shared" si="17"/>
        <v>0</v>
      </c>
    </row>
    <row r="358" spans="2:14" hidden="1">
      <c r="B358" s="745">
        <v>346</v>
      </c>
      <c r="C358" s="759"/>
      <c r="D358" s="760"/>
      <c r="E358" s="761"/>
      <c r="F358" s="762"/>
      <c r="G358" s="193"/>
      <c r="H358" s="555">
        <f>IF(Consolidado_A!$G$133&gt;=7.6%,-(0.0165+0.076)*F358,0)</f>
        <v>0</v>
      </c>
      <c r="I358" s="193"/>
      <c r="J358" s="561">
        <f t="shared" si="15"/>
        <v>0</v>
      </c>
      <c r="K358" s="193"/>
      <c r="L358" s="561">
        <f t="shared" si="16"/>
        <v>0</v>
      </c>
      <c r="M358" s="193"/>
      <c r="N358" s="561">
        <f t="shared" si="17"/>
        <v>0</v>
      </c>
    </row>
    <row r="359" spans="2:14" hidden="1">
      <c r="B359" s="745">
        <v>347</v>
      </c>
      <c r="C359" s="759"/>
      <c r="D359" s="760"/>
      <c r="E359" s="761"/>
      <c r="F359" s="762"/>
      <c r="G359" s="193"/>
      <c r="H359" s="555">
        <f>IF(Consolidado_A!$G$133&gt;=7.6%,-(0.0165+0.076)*F359,0)</f>
        <v>0</v>
      </c>
      <c r="I359" s="193"/>
      <c r="J359" s="561">
        <f t="shared" si="15"/>
        <v>0</v>
      </c>
      <c r="K359" s="193"/>
      <c r="L359" s="561">
        <f t="shared" si="16"/>
        <v>0</v>
      </c>
      <c r="M359" s="193"/>
      <c r="N359" s="561">
        <f t="shared" si="17"/>
        <v>0</v>
      </c>
    </row>
    <row r="360" spans="2:14" hidden="1">
      <c r="B360" s="745">
        <v>348</v>
      </c>
      <c r="C360" s="759"/>
      <c r="D360" s="760"/>
      <c r="E360" s="761"/>
      <c r="F360" s="762"/>
      <c r="G360" s="193"/>
      <c r="H360" s="555">
        <f>IF(Consolidado_A!$G$133&gt;=7.6%,-(0.0165+0.076)*F360,0)</f>
        <v>0</v>
      </c>
      <c r="I360" s="193"/>
      <c r="J360" s="561">
        <f t="shared" si="15"/>
        <v>0</v>
      </c>
      <c r="K360" s="193"/>
      <c r="L360" s="561">
        <f t="shared" si="16"/>
        <v>0</v>
      </c>
      <c r="M360" s="193"/>
      <c r="N360" s="561">
        <f t="shared" si="17"/>
        <v>0</v>
      </c>
    </row>
    <row r="361" spans="2:14" hidden="1">
      <c r="B361" s="745">
        <v>349</v>
      </c>
      <c r="C361" s="759"/>
      <c r="D361" s="760"/>
      <c r="E361" s="761"/>
      <c r="F361" s="762"/>
      <c r="G361" s="193"/>
      <c r="H361" s="555">
        <f>IF(Consolidado_A!$G$133&gt;=7.6%,-(0.0165+0.076)*F361,0)</f>
        <v>0</v>
      </c>
      <c r="I361" s="193"/>
      <c r="J361" s="561">
        <f t="shared" si="15"/>
        <v>0</v>
      </c>
      <c r="K361" s="193"/>
      <c r="L361" s="561">
        <f t="shared" si="16"/>
        <v>0</v>
      </c>
      <c r="M361" s="193"/>
      <c r="N361" s="561">
        <f t="shared" si="17"/>
        <v>0</v>
      </c>
    </row>
    <row r="362" spans="2:14" hidden="1">
      <c r="B362" s="745">
        <v>350</v>
      </c>
      <c r="C362" s="759"/>
      <c r="D362" s="760"/>
      <c r="E362" s="761"/>
      <c r="F362" s="762"/>
      <c r="G362" s="193"/>
      <c r="H362" s="555">
        <f>IF(Consolidado_A!$G$133&gt;=7.6%,-(0.0165+0.076)*F362,0)</f>
        <v>0</v>
      </c>
      <c r="I362" s="193"/>
      <c r="J362" s="561">
        <f t="shared" si="15"/>
        <v>0</v>
      </c>
      <c r="K362" s="193"/>
      <c r="L362" s="561">
        <f t="shared" si="16"/>
        <v>0</v>
      </c>
      <c r="M362" s="193"/>
      <c r="N362" s="561">
        <f t="shared" si="17"/>
        <v>0</v>
      </c>
    </row>
    <row r="363" spans="2:14" hidden="1">
      <c r="B363" s="745">
        <v>351</v>
      </c>
      <c r="C363" s="759"/>
      <c r="D363" s="760"/>
      <c r="E363" s="761"/>
      <c r="F363" s="762"/>
      <c r="G363" s="193"/>
      <c r="H363" s="555">
        <f>IF(Consolidado_A!$G$133&gt;=7.6%,-(0.0165+0.076)*F363,0)</f>
        <v>0</v>
      </c>
      <c r="I363" s="193"/>
      <c r="J363" s="561">
        <f t="shared" si="15"/>
        <v>0</v>
      </c>
      <c r="K363" s="193"/>
      <c r="L363" s="561">
        <f t="shared" si="16"/>
        <v>0</v>
      </c>
      <c r="M363" s="193"/>
      <c r="N363" s="561">
        <f t="shared" si="17"/>
        <v>0</v>
      </c>
    </row>
    <row r="364" spans="2:14" hidden="1">
      <c r="B364" s="745">
        <v>352</v>
      </c>
      <c r="C364" s="759"/>
      <c r="D364" s="760"/>
      <c r="E364" s="761"/>
      <c r="F364" s="762"/>
      <c r="G364" s="193"/>
      <c r="H364" s="555">
        <f>IF(Consolidado_A!$G$133&gt;=7.6%,-(0.0165+0.076)*F364,0)</f>
        <v>0</v>
      </c>
      <c r="I364" s="193"/>
      <c r="J364" s="561">
        <f t="shared" si="15"/>
        <v>0</v>
      </c>
      <c r="K364" s="193"/>
      <c r="L364" s="561">
        <f t="shared" si="16"/>
        <v>0</v>
      </c>
      <c r="M364" s="193"/>
      <c r="N364" s="561">
        <f t="shared" si="17"/>
        <v>0</v>
      </c>
    </row>
    <row r="365" spans="2:14" hidden="1">
      <c r="B365" s="745">
        <v>353</v>
      </c>
      <c r="C365" s="759"/>
      <c r="D365" s="760"/>
      <c r="E365" s="761"/>
      <c r="F365" s="762"/>
      <c r="G365" s="193"/>
      <c r="H365" s="555">
        <f>IF(Consolidado_A!$G$133&gt;=7.6%,-(0.0165+0.076)*F365,0)</f>
        <v>0</v>
      </c>
      <c r="I365" s="193"/>
      <c r="J365" s="561">
        <f t="shared" si="15"/>
        <v>0</v>
      </c>
      <c r="K365" s="193"/>
      <c r="L365" s="561">
        <f t="shared" si="16"/>
        <v>0</v>
      </c>
      <c r="M365" s="193"/>
      <c r="N365" s="561">
        <f t="shared" si="17"/>
        <v>0</v>
      </c>
    </row>
    <row r="366" spans="2:14" hidden="1">
      <c r="B366" s="745">
        <v>354</v>
      </c>
      <c r="C366" s="759"/>
      <c r="D366" s="760"/>
      <c r="E366" s="761"/>
      <c r="F366" s="762"/>
      <c r="G366" s="193"/>
      <c r="H366" s="555">
        <f>IF(Consolidado_A!$G$133&gt;=7.6%,-(0.0165+0.076)*F366,0)</f>
        <v>0</v>
      </c>
      <c r="I366" s="193"/>
      <c r="J366" s="561">
        <f t="shared" si="15"/>
        <v>0</v>
      </c>
      <c r="K366" s="193"/>
      <c r="L366" s="561">
        <f t="shared" si="16"/>
        <v>0</v>
      </c>
      <c r="M366" s="193"/>
      <c r="N366" s="561">
        <f t="shared" si="17"/>
        <v>0</v>
      </c>
    </row>
    <row r="367" spans="2:14" hidden="1">
      <c r="B367" s="745">
        <v>355</v>
      </c>
      <c r="C367" s="759"/>
      <c r="D367" s="760"/>
      <c r="E367" s="761"/>
      <c r="F367" s="762"/>
      <c r="G367" s="193"/>
      <c r="H367" s="555">
        <f>IF(Consolidado_A!$G$133&gt;=7.6%,-(0.0165+0.076)*F367,0)</f>
        <v>0</v>
      </c>
      <c r="I367" s="193"/>
      <c r="J367" s="561">
        <f t="shared" si="15"/>
        <v>0</v>
      </c>
      <c r="K367" s="193"/>
      <c r="L367" s="561">
        <f t="shared" si="16"/>
        <v>0</v>
      </c>
      <c r="M367" s="193"/>
      <c r="N367" s="561">
        <f t="shared" si="17"/>
        <v>0</v>
      </c>
    </row>
    <row r="368" spans="2:14" hidden="1">
      <c r="B368" s="745">
        <v>356</v>
      </c>
      <c r="C368" s="759"/>
      <c r="D368" s="760"/>
      <c r="E368" s="761"/>
      <c r="F368" s="762"/>
      <c r="G368" s="193"/>
      <c r="H368" s="555">
        <f>IF(Consolidado_A!$G$133&gt;=7.6%,-(0.0165+0.076)*F368,0)</f>
        <v>0</v>
      </c>
      <c r="I368" s="193"/>
      <c r="J368" s="561">
        <f t="shared" si="15"/>
        <v>0</v>
      </c>
      <c r="K368" s="193"/>
      <c r="L368" s="561">
        <f t="shared" si="16"/>
        <v>0</v>
      </c>
      <c r="M368" s="193"/>
      <c r="N368" s="561">
        <f t="shared" si="17"/>
        <v>0</v>
      </c>
    </row>
    <row r="369" spans="2:14" hidden="1">
      <c r="B369" s="745">
        <v>357</v>
      </c>
      <c r="C369" s="759"/>
      <c r="D369" s="760"/>
      <c r="E369" s="761"/>
      <c r="F369" s="762"/>
      <c r="G369" s="193"/>
      <c r="H369" s="555">
        <f>IF(Consolidado_A!$G$133&gt;=7.6%,-(0.0165+0.076)*F369,0)</f>
        <v>0</v>
      </c>
      <c r="I369" s="193"/>
      <c r="J369" s="561">
        <f t="shared" si="15"/>
        <v>0</v>
      </c>
      <c r="K369" s="193"/>
      <c r="L369" s="561">
        <f t="shared" si="16"/>
        <v>0</v>
      </c>
      <c r="M369" s="193"/>
      <c r="N369" s="561">
        <f t="shared" si="17"/>
        <v>0</v>
      </c>
    </row>
    <row r="370" spans="2:14" hidden="1">
      <c r="B370" s="745">
        <v>358</v>
      </c>
      <c r="C370" s="759"/>
      <c r="D370" s="760"/>
      <c r="E370" s="761"/>
      <c r="F370" s="762"/>
      <c r="G370" s="193"/>
      <c r="H370" s="555">
        <f>IF(Consolidado_A!$G$133&gt;=7.6%,-(0.0165+0.076)*F370,0)</f>
        <v>0</v>
      </c>
      <c r="I370" s="193"/>
      <c r="J370" s="561">
        <f t="shared" si="15"/>
        <v>0</v>
      </c>
      <c r="K370" s="193"/>
      <c r="L370" s="561">
        <f t="shared" si="16"/>
        <v>0</v>
      </c>
      <c r="M370" s="193"/>
      <c r="N370" s="561">
        <f t="shared" si="17"/>
        <v>0</v>
      </c>
    </row>
    <row r="371" spans="2:14" hidden="1">
      <c r="B371" s="745">
        <v>359</v>
      </c>
      <c r="C371" s="759"/>
      <c r="D371" s="760"/>
      <c r="E371" s="761"/>
      <c r="F371" s="762"/>
      <c r="G371" s="193"/>
      <c r="H371" s="555">
        <f>IF(Consolidado_A!$G$133&gt;=7.6%,-(0.0165+0.076)*F371,0)</f>
        <v>0</v>
      </c>
      <c r="I371" s="193"/>
      <c r="J371" s="561">
        <f t="shared" si="15"/>
        <v>0</v>
      </c>
      <c r="K371" s="193"/>
      <c r="L371" s="561">
        <f t="shared" si="16"/>
        <v>0</v>
      </c>
      <c r="M371" s="193"/>
      <c r="N371" s="561">
        <f t="shared" si="17"/>
        <v>0</v>
      </c>
    </row>
    <row r="372" spans="2:14" hidden="1">
      <c r="B372" s="745">
        <v>360</v>
      </c>
      <c r="C372" s="759"/>
      <c r="D372" s="760"/>
      <c r="E372" s="761"/>
      <c r="F372" s="762"/>
      <c r="G372" s="193"/>
      <c r="H372" s="555">
        <f>IF(Consolidado_A!$G$133&gt;=7.6%,-(0.0165+0.076)*F372,0)</f>
        <v>0</v>
      </c>
      <c r="I372" s="193"/>
      <c r="J372" s="561">
        <f t="shared" si="15"/>
        <v>0</v>
      </c>
      <c r="K372" s="193"/>
      <c r="L372" s="561">
        <f t="shared" si="16"/>
        <v>0</v>
      </c>
      <c r="M372" s="193"/>
      <c r="N372" s="561">
        <f t="shared" si="17"/>
        <v>0</v>
      </c>
    </row>
    <row r="373" spans="2:14" hidden="1">
      <c r="B373" s="745">
        <v>361</v>
      </c>
      <c r="C373" s="759"/>
      <c r="D373" s="760"/>
      <c r="E373" s="761"/>
      <c r="F373" s="762"/>
      <c r="G373" s="193"/>
      <c r="H373" s="555">
        <f>IF(Consolidado_A!$G$133&gt;=7.6%,-(0.0165+0.076)*F373,0)</f>
        <v>0</v>
      </c>
      <c r="I373" s="193"/>
      <c r="J373" s="561">
        <f t="shared" si="15"/>
        <v>0</v>
      </c>
      <c r="K373" s="193"/>
      <c r="L373" s="561">
        <f t="shared" si="16"/>
        <v>0</v>
      </c>
      <c r="M373" s="193"/>
      <c r="N373" s="561">
        <f t="shared" si="17"/>
        <v>0</v>
      </c>
    </row>
    <row r="374" spans="2:14" hidden="1">
      <c r="B374" s="745">
        <v>362</v>
      </c>
      <c r="C374" s="759"/>
      <c r="D374" s="760"/>
      <c r="E374" s="761"/>
      <c r="F374" s="762"/>
      <c r="G374" s="193"/>
      <c r="H374" s="555">
        <f>IF(Consolidado_A!$G$133&gt;=7.6%,-(0.0165+0.076)*F374,0)</f>
        <v>0</v>
      </c>
      <c r="I374" s="193"/>
      <c r="J374" s="561">
        <f t="shared" si="15"/>
        <v>0</v>
      </c>
      <c r="K374" s="193"/>
      <c r="L374" s="561">
        <f t="shared" si="16"/>
        <v>0</v>
      </c>
      <c r="M374" s="193"/>
      <c r="N374" s="561">
        <f t="shared" si="17"/>
        <v>0</v>
      </c>
    </row>
    <row r="375" spans="2:14" hidden="1">
      <c r="B375" s="745">
        <v>363</v>
      </c>
      <c r="C375" s="759"/>
      <c r="D375" s="760"/>
      <c r="E375" s="761"/>
      <c r="F375" s="762"/>
      <c r="G375" s="193"/>
      <c r="H375" s="555">
        <f>IF(Consolidado_A!$G$133&gt;=7.6%,-(0.0165+0.076)*F375,0)</f>
        <v>0</v>
      </c>
      <c r="I375" s="193"/>
      <c r="J375" s="561">
        <f t="shared" si="15"/>
        <v>0</v>
      </c>
      <c r="K375" s="193"/>
      <c r="L375" s="561">
        <f t="shared" si="16"/>
        <v>0</v>
      </c>
      <c r="M375" s="193"/>
      <c r="N375" s="561">
        <f t="shared" si="17"/>
        <v>0</v>
      </c>
    </row>
    <row r="376" spans="2:14" hidden="1">
      <c r="B376" s="745">
        <v>364</v>
      </c>
      <c r="C376" s="759"/>
      <c r="D376" s="760"/>
      <c r="E376" s="761"/>
      <c r="F376" s="762"/>
      <c r="G376" s="193"/>
      <c r="H376" s="555">
        <f>IF(Consolidado_A!$G$133&gt;=7.6%,-(0.0165+0.076)*F376,0)</f>
        <v>0</v>
      </c>
      <c r="I376" s="193"/>
      <c r="J376" s="561">
        <f t="shared" si="15"/>
        <v>0</v>
      </c>
      <c r="K376" s="193"/>
      <c r="L376" s="561">
        <f t="shared" si="16"/>
        <v>0</v>
      </c>
      <c r="M376" s="193"/>
      <c r="N376" s="561">
        <f t="shared" si="17"/>
        <v>0</v>
      </c>
    </row>
    <row r="377" spans="2:14" hidden="1">
      <c r="B377" s="745">
        <v>365</v>
      </c>
      <c r="C377" s="759"/>
      <c r="D377" s="760"/>
      <c r="E377" s="761"/>
      <c r="F377" s="762"/>
      <c r="G377" s="193"/>
      <c r="H377" s="555">
        <f>IF(Consolidado_A!$G$133&gt;=7.6%,-(0.0165+0.076)*F377,0)</f>
        <v>0</v>
      </c>
      <c r="I377" s="193"/>
      <c r="J377" s="561">
        <f t="shared" si="15"/>
        <v>0</v>
      </c>
      <c r="K377" s="193"/>
      <c r="L377" s="561">
        <f t="shared" si="16"/>
        <v>0</v>
      </c>
      <c r="M377" s="193"/>
      <c r="N377" s="561">
        <f t="shared" si="17"/>
        <v>0</v>
      </c>
    </row>
    <row r="378" spans="2:14" hidden="1">
      <c r="B378" s="745">
        <v>366</v>
      </c>
      <c r="C378" s="759"/>
      <c r="D378" s="760"/>
      <c r="E378" s="761"/>
      <c r="F378" s="762"/>
      <c r="G378" s="193"/>
      <c r="H378" s="555">
        <f>IF(Consolidado_A!$G$133&gt;=7.6%,-(0.0165+0.076)*F378,0)</f>
        <v>0</v>
      </c>
      <c r="I378" s="193"/>
      <c r="J378" s="561">
        <f t="shared" si="15"/>
        <v>0</v>
      </c>
      <c r="K378" s="193"/>
      <c r="L378" s="561">
        <f t="shared" si="16"/>
        <v>0</v>
      </c>
      <c r="M378" s="193"/>
      <c r="N378" s="561">
        <f t="shared" si="17"/>
        <v>0</v>
      </c>
    </row>
    <row r="379" spans="2:14" hidden="1">
      <c r="B379" s="745">
        <v>367</v>
      </c>
      <c r="C379" s="759"/>
      <c r="D379" s="760"/>
      <c r="E379" s="761"/>
      <c r="F379" s="762"/>
      <c r="G379" s="193"/>
      <c r="H379" s="555">
        <f>IF(Consolidado_A!$G$133&gt;=7.6%,-(0.0165+0.076)*F379,0)</f>
        <v>0</v>
      </c>
      <c r="I379" s="193"/>
      <c r="J379" s="561">
        <f t="shared" si="15"/>
        <v>0</v>
      </c>
      <c r="K379" s="193"/>
      <c r="L379" s="561">
        <f t="shared" si="16"/>
        <v>0</v>
      </c>
      <c r="M379" s="193"/>
      <c r="N379" s="561">
        <f t="shared" si="17"/>
        <v>0</v>
      </c>
    </row>
    <row r="380" spans="2:14" hidden="1">
      <c r="B380" s="745">
        <v>368</v>
      </c>
      <c r="C380" s="759"/>
      <c r="D380" s="760"/>
      <c r="E380" s="761"/>
      <c r="F380" s="762"/>
      <c r="G380" s="193"/>
      <c r="H380" s="555">
        <f>IF(Consolidado_A!$G$133&gt;=7.6%,-(0.0165+0.076)*F380,0)</f>
        <v>0</v>
      </c>
      <c r="I380" s="193"/>
      <c r="J380" s="561">
        <f t="shared" si="15"/>
        <v>0</v>
      </c>
      <c r="K380" s="193"/>
      <c r="L380" s="561">
        <f t="shared" si="16"/>
        <v>0</v>
      </c>
      <c r="M380" s="193"/>
      <c r="N380" s="561">
        <f t="shared" si="17"/>
        <v>0</v>
      </c>
    </row>
    <row r="381" spans="2:14" hidden="1">
      <c r="B381" s="745">
        <v>369</v>
      </c>
      <c r="C381" s="759"/>
      <c r="D381" s="760"/>
      <c r="E381" s="761"/>
      <c r="F381" s="762"/>
      <c r="G381" s="193"/>
      <c r="H381" s="555">
        <f>IF(Consolidado_A!$G$133&gt;=7.6%,-(0.0165+0.076)*F381,0)</f>
        <v>0</v>
      </c>
      <c r="I381" s="193"/>
      <c r="J381" s="561">
        <f t="shared" si="15"/>
        <v>0</v>
      </c>
      <c r="K381" s="193"/>
      <c r="L381" s="561">
        <f t="shared" si="16"/>
        <v>0</v>
      </c>
      <c r="M381" s="193"/>
      <c r="N381" s="561">
        <f t="shared" si="17"/>
        <v>0</v>
      </c>
    </row>
    <row r="382" spans="2:14" hidden="1">
      <c r="B382" s="745">
        <v>370</v>
      </c>
      <c r="C382" s="759"/>
      <c r="D382" s="760"/>
      <c r="E382" s="761"/>
      <c r="F382" s="762"/>
      <c r="G382" s="193"/>
      <c r="H382" s="555">
        <f>IF(Consolidado_A!$G$133&gt;=7.6%,-(0.0165+0.076)*F382,0)</f>
        <v>0</v>
      </c>
      <c r="I382" s="193"/>
      <c r="J382" s="561">
        <f t="shared" si="15"/>
        <v>0</v>
      </c>
      <c r="K382" s="193"/>
      <c r="L382" s="561">
        <f t="shared" si="16"/>
        <v>0</v>
      </c>
      <c r="M382" s="193"/>
      <c r="N382" s="561">
        <f t="shared" si="17"/>
        <v>0</v>
      </c>
    </row>
    <row r="383" spans="2:14" hidden="1">
      <c r="B383" s="745">
        <v>371</v>
      </c>
      <c r="C383" s="759"/>
      <c r="D383" s="760"/>
      <c r="E383" s="761"/>
      <c r="F383" s="762"/>
      <c r="G383" s="193"/>
      <c r="H383" s="555">
        <f>IF(Consolidado_A!$G$133&gt;=7.6%,-(0.0165+0.076)*F383,0)</f>
        <v>0</v>
      </c>
      <c r="I383" s="193"/>
      <c r="J383" s="561">
        <f t="shared" si="15"/>
        <v>0</v>
      </c>
      <c r="K383" s="193"/>
      <c r="L383" s="561">
        <f t="shared" si="16"/>
        <v>0</v>
      </c>
      <c r="M383" s="193"/>
      <c r="N383" s="561">
        <f t="shared" si="17"/>
        <v>0</v>
      </c>
    </row>
    <row r="384" spans="2:14" hidden="1">
      <c r="B384" s="745">
        <v>372</v>
      </c>
      <c r="C384" s="759"/>
      <c r="D384" s="760"/>
      <c r="E384" s="761"/>
      <c r="F384" s="762"/>
      <c r="G384" s="193"/>
      <c r="H384" s="555">
        <f>IF(Consolidado_A!$G$133&gt;=7.6%,-(0.0165+0.076)*F384,0)</f>
        <v>0</v>
      </c>
      <c r="I384" s="193"/>
      <c r="J384" s="561">
        <f t="shared" si="15"/>
        <v>0</v>
      </c>
      <c r="K384" s="193"/>
      <c r="L384" s="561">
        <f t="shared" si="16"/>
        <v>0</v>
      </c>
      <c r="M384" s="193"/>
      <c r="N384" s="561">
        <f t="shared" si="17"/>
        <v>0</v>
      </c>
    </row>
    <row r="385" spans="2:14" hidden="1">
      <c r="B385" s="745">
        <v>373</v>
      </c>
      <c r="C385" s="759"/>
      <c r="D385" s="760"/>
      <c r="E385" s="761"/>
      <c r="F385" s="762"/>
      <c r="G385" s="193"/>
      <c r="H385" s="555">
        <f>IF(Consolidado_A!$G$133&gt;=7.6%,-(0.0165+0.076)*F385,0)</f>
        <v>0</v>
      </c>
      <c r="I385" s="193"/>
      <c r="J385" s="561">
        <f t="shared" si="15"/>
        <v>0</v>
      </c>
      <c r="K385" s="193"/>
      <c r="L385" s="561">
        <f t="shared" si="16"/>
        <v>0</v>
      </c>
      <c r="M385" s="193"/>
      <c r="N385" s="561">
        <f t="shared" si="17"/>
        <v>0</v>
      </c>
    </row>
    <row r="386" spans="2:14" hidden="1">
      <c r="B386" s="745">
        <v>374</v>
      </c>
      <c r="C386" s="759"/>
      <c r="D386" s="760"/>
      <c r="E386" s="761"/>
      <c r="F386" s="762"/>
      <c r="G386" s="193"/>
      <c r="H386" s="555">
        <f>IF(Consolidado_A!$G$133&gt;=7.6%,-(0.0165+0.076)*F386,0)</f>
        <v>0</v>
      </c>
      <c r="I386" s="193"/>
      <c r="J386" s="561">
        <f t="shared" si="15"/>
        <v>0</v>
      </c>
      <c r="K386" s="193"/>
      <c r="L386" s="561">
        <f t="shared" si="16"/>
        <v>0</v>
      </c>
      <c r="M386" s="193"/>
      <c r="N386" s="561">
        <f t="shared" si="17"/>
        <v>0</v>
      </c>
    </row>
    <row r="387" spans="2:14" hidden="1">
      <c r="B387" s="745">
        <v>375</v>
      </c>
      <c r="C387" s="759"/>
      <c r="D387" s="760"/>
      <c r="E387" s="761"/>
      <c r="F387" s="762"/>
      <c r="G387" s="193"/>
      <c r="H387" s="555">
        <f>IF(Consolidado_A!$G$133&gt;=7.6%,-(0.0165+0.076)*F387,0)</f>
        <v>0</v>
      </c>
      <c r="I387" s="193"/>
      <c r="J387" s="561">
        <f t="shared" si="15"/>
        <v>0</v>
      </c>
      <c r="K387" s="193"/>
      <c r="L387" s="561">
        <f t="shared" si="16"/>
        <v>0</v>
      </c>
      <c r="M387" s="193"/>
      <c r="N387" s="561">
        <f t="shared" si="17"/>
        <v>0</v>
      </c>
    </row>
    <row r="388" spans="2:14" hidden="1">
      <c r="B388" s="745">
        <v>376</v>
      </c>
      <c r="C388" s="759"/>
      <c r="D388" s="760"/>
      <c r="E388" s="761"/>
      <c r="F388" s="762"/>
      <c r="G388" s="193"/>
      <c r="H388" s="555">
        <f>IF(Consolidado_A!$G$133&gt;=7.6%,-(0.0165+0.076)*F388,0)</f>
        <v>0</v>
      </c>
      <c r="I388" s="193"/>
      <c r="J388" s="561">
        <f t="shared" si="15"/>
        <v>0</v>
      </c>
      <c r="K388" s="193"/>
      <c r="L388" s="561">
        <f t="shared" si="16"/>
        <v>0</v>
      </c>
      <c r="M388" s="193"/>
      <c r="N388" s="561">
        <f t="shared" si="17"/>
        <v>0</v>
      </c>
    </row>
    <row r="389" spans="2:14" hidden="1">
      <c r="B389" s="745">
        <v>377</v>
      </c>
      <c r="C389" s="759"/>
      <c r="D389" s="760"/>
      <c r="E389" s="761"/>
      <c r="F389" s="762"/>
      <c r="G389" s="193"/>
      <c r="H389" s="555">
        <f>IF(Consolidado_A!$G$133&gt;=7.6%,-(0.0165+0.076)*F389,0)</f>
        <v>0</v>
      </c>
      <c r="I389" s="193"/>
      <c r="J389" s="561">
        <f t="shared" si="15"/>
        <v>0</v>
      </c>
      <c r="K389" s="193"/>
      <c r="L389" s="561">
        <f t="shared" si="16"/>
        <v>0</v>
      </c>
      <c r="M389" s="193"/>
      <c r="N389" s="561">
        <f t="shared" si="17"/>
        <v>0</v>
      </c>
    </row>
    <row r="390" spans="2:14" hidden="1">
      <c r="B390" s="745">
        <v>378</v>
      </c>
      <c r="C390" s="759"/>
      <c r="D390" s="760"/>
      <c r="E390" s="761"/>
      <c r="F390" s="762"/>
      <c r="G390" s="193"/>
      <c r="H390" s="555">
        <f>IF(Consolidado_A!$G$133&gt;=7.6%,-(0.0165+0.076)*F390,0)</f>
        <v>0</v>
      </c>
      <c r="I390" s="193"/>
      <c r="J390" s="561">
        <f t="shared" si="15"/>
        <v>0</v>
      </c>
      <c r="K390" s="193"/>
      <c r="L390" s="561">
        <f t="shared" si="16"/>
        <v>0</v>
      </c>
      <c r="M390" s="193"/>
      <c r="N390" s="561">
        <f t="shared" si="17"/>
        <v>0</v>
      </c>
    </row>
    <row r="391" spans="2:14" hidden="1">
      <c r="B391" s="745">
        <v>379</v>
      </c>
      <c r="C391" s="759"/>
      <c r="D391" s="760"/>
      <c r="E391" s="761"/>
      <c r="F391" s="762"/>
      <c r="G391" s="193"/>
      <c r="H391" s="555">
        <f>IF(Consolidado_A!$G$133&gt;=7.6%,-(0.0165+0.076)*F391,0)</f>
        <v>0</v>
      </c>
      <c r="I391" s="193"/>
      <c r="J391" s="561">
        <f t="shared" si="15"/>
        <v>0</v>
      </c>
      <c r="K391" s="193"/>
      <c r="L391" s="561">
        <f t="shared" si="16"/>
        <v>0</v>
      </c>
      <c r="M391" s="193"/>
      <c r="N391" s="561">
        <f t="shared" si="17"/>
        <v>0</v>
      </c>
    </row>
    <row r="392" spans="2:14" hidden="1">
      <c r="B392" s="745">
        <v>380</v>
      </c>
      <c r="C392" s="759"/>
      <c r="D392" s="760"/>
      <c r="E392" s="761"/>
      <c r="F392" s="762"/>
      <c r="G392" s="193"/>
      <c r="H392" s="555">
        <f>IF(Consolidado_A!$G$133&gt;=7.6%,-(0.0165+0.076)*F392,0)</f>
        <v>0</v>
      </c>
      <c r="I392" s="193"/>
      <c r="J392" s="561">
        <f t="shared" si="15"/>
        <v>0</v>
      </c>
      <c r="K392" s="193"/>
      <c r="L392" s="561">
        <f t="shared" si="16"/>
        <v>0</v>
      </c>
      <c r="M392" s="193"/>
      <c r="N392" s="561">
        <f t="shared" si="17"/>
        <v>0</v>
      </c>
    </row>
    <row r="393" spans="2:14" hidden="1">
      <c r="B393" s="745">
        <v>381</v>
      </c>
      <c r="C393" s="759"/>
      <c r="D393" s="760"/>
      <c r="E393" s="761"/>
      <c r="F393" s="762"/>
      <c r="G393" s="193"/>
      <c r="H393" s="555">
        <f>IF(Consolidado_A!$G$133&gt;=7.6%,-(0.0165+0.076)*F393,0)</f>
        <v>0</v>
      </c>
      <c r="I393" s="193"/>
      <c r="J393" s="561">
        <f t="shared" si="15"/>
        <v>0</v>
      </c>
      <c r="K393" s="193"/>
      <c r="L393" s="561">
        <f t="shared" si="16"/>
        <v>0</v>
      </c>
      <c r="M393" s="193"/>
      <c r="N393" s="561">
        <f t="shared" si="17"/>
        <v>0</v>
      </c>
    </row>
    <row r="394" spans="2:14" hidden="1">
      <c r="B394" s="745">
        <v>382</v>
      </c>
      <c r="C394" s="759"/>
      <c r="D394" s="760"/>
      <c r="E394" s="761"/>
      <c r="F394" s="762"/>
      <c r="G394" s="193"/>
      <c r="H394" s="555">
        <f>IF(Consolidado_A!$G$133&gt;=7.6%,-(0.0165+0.076)*F394,0)</f>
        <v>0</v>
      </c>
      <c r="I394" s="193"/>
      <c r="J394" s="561">
        <f t="shared" si="15"/>
        <v>0</v>
      </c>
      <c r="K394" s="193"/>
      <c r="L394" s="561">
        <f t="shared" si="16"/>
        <v>0</v>
      </c>
      <c r="M394" s="193"/>
      <c r="N394" s="561">
        <f t="shared" si="17"/>
        <v>0</v>
      </c>
    </row>
    <row r="395" spans="2:14" hidden="1">
      <c r="B395" s="745">
        <v>383</v>
      </c>
      <c r="C395" s="759"/>
      <c r="D395" s="760"/>
      <c r="E395" s="761"/>
      <c r="F395" s="762"/>
      <c r="G395" s="193"/>
      <c r="H395" s="555">
        <f>IF(Consolidado_A!$G$133&gt;=7.6%,-(0.0165+0.076)*F395,0)</f>
        <v>0</v>
      </c>
      <c r="I395" s="193"/>
      <c r="J395" s="561">
        <f t="shared" si="15"/>
        <v>0</v>
      </c>
      <c r="K395" s="193"/>
      <c r="L395" s="561">
        <f t="shared" si="16"/>
        <v>0</v>
      </c>
      <c r="M395" s="193"/>
      <c r="N395" s="561">
        <f t="shared" si="17"/>
        <v>0</v>
      </c>
    </row>
    <row r="396" spans="2:14" hidden="1">
      <c r="B396" s="745">
        <v>384</v>
      </c>
      <c r="C396" s="759"/>
      <c r="D396" s="760"/>
      <c r="E396" s="761"/>
      <c r="F396" s="762"/>
      <c r="G396" s="193"/>
      <c r="H396" s="555">
        <f>IF(Consolidado_A!$G$133&gt;=7.6%,-(0.0165+0.076)*F396,0)</f>
        <v>0</v>
      </c>
      <c r="I396" s="193"/>
      <c r="J396" s="561">
        <f t="shared" si="15"/>
        <v>0</v>
      </c>
      <c r="K396" s="193"/>
      <c r="L396" s="561">
        <f t="shared" si="16"/>
        <v>0</v>
      </c>
      <c r="M396" s="193"/>
      <c r="N396" s="561">
        <f t="shared" si="17"/>
        <v>0</v>
      </c>
    </row>
    <row r="397" spans="2:14" hidden="1">
      <c r="B397" s="745">
        <v>385</v>
      </c>
      <c r="C397" s="759"/>
      <c r="D397" s="760"/>
      <c r="E397" s="761"/>
      <c r="F397" s="762"/>
      <c r="G397" s="193"/>
      <c r="H397" s="555">
        <f>IF(Consolidado_A!$G$133&gt;=7.6%,-(0.0165+0.076)*F397,0)</f>
        <v>0</v>
      </c>
      <c r="I397" s="193"/>
      <c r="J397" s="561">
        <f t="shared" ref="J397:J460" si="18">F397+H397</f>
        <v>0</v>
      </c>
      <c r="K397" s="193"/>
      <c r="L397" s="561">
        <f t="shared" ref="L397:L460" si="19">J397*E397</f>
        <v>0</v>
      </c>
      <c r="M397" s="193"/>
      <c r="N397" s="561">
        <f t="shared" ref="N397:N460" si="20">L397*12</f>
        <v>0</v>
      </c>
    </row>
    <row r="398" spans="2:14" hidden="1">
      <c r="B398" s="745">
        <v>386</v>
      </c>
      <c r="C398" s="759"/>
      <c r="D398" s="760"/>
      <c r="E398" s="761"/>
      <c r="F398" s="762"/>
      <c r="G398" s="193"/>
      <c r="H398" s="555">
        <f>IF(Consolidado_A!$G$133&gt;=7.6%,-(0.0165+0.076)*F398,0)</f>
        <v>0</v>
      </c>
      <c r="I398" s="193"/>
      <c r="J398" s="561">
        <f t="shared" si="18"/>
        <v>0</v>
      </c>
      <c r="K398" s="193"/>
      <c r="L398" s="561">
        <f t="shared" si="19"/>
        <v>0</v>
      </c>
      <c r="M398" s="193"/>
      <c r="N398" s="561">
        <f t="shared" si="20"/>
        <v>0</v>
      </c>
    </row>
    <row r="399" spans="2:14" hidden="1">
      <c r="B399" s="745">
        <v>387</v>
      </c>
      <c r="C399" s="759"/>
      <c r="D399" s="760"/>
      <c r="E399" s="761"/>
      <c r="F399" s="762"/>
      <c r="G399" s="193"/>
      <c r="H399" s="555">
        <f>IF(Consolidado_A!$G$133&gt;=7.6%,-(0.0165+0.076)*F399,0)</f>
        <v>0</v>
      </c>
      <c r="I399" s="193"/>
      <c r="J399" s="561">
        <f t="shared" si="18"/>
        <v>0</v>
      </c>
      <c r="K399" s="193"/>
      <c r="L399" s="561">
        <f t="shared" si="19"/>
        <v>0</v>
      </c>
      <c r="M399" s="193"/>
      <c r="N399" s="561">
        <f t="shared" si="20"/>
        <v>0</v>
      </c>
    </row>
    <row r="400" spans="2:14" hidden="1">
      <c r="B400" s="745">
        <v>388</v>
      </c>
      <c r="C400" s="759"/>
      <c r="D400" s="760"/>
      <c r="E400" s="761"/>
      <c r="F400" s="762"/>
      <c r="G400" s="193"/>
      <c r="H400" s="555">
        <f>IF(Consolidado_A!$G$133&gt;=7.6%,-(0.0165+0.076)*F400,0)</f>
        <v>0</v>
      </c>
      <c r="I400" s="193"/>
      <c r="J400" s="561">
        <f t="shared" si="18"/>
        <v>0</v>
      </c>
      <c r="K400" s="193"/>
      <c r="L400" s="561">
        <f t="shared" si="19"/>
        <v>0</v>
      </c>
      <c r="M400" s="193"/>
      <c r="N400" s="561">
        <f t="shared" si="20"/>
        <v>0</v>
      </c>
    </row>
    <row r="401" spans="2:14" hidden="1">
      <c r="B401" s="745">
        <v>389</v>
      </c>
      <c r="C401" s="759"/>
      <c r="D401" s="760"/>
      <c r="E401" s="761"/>
      <c r="F401" s="762"/>
      <c r="G401" s="193"/>
      <c r="H401" s="555">
        <f>IF(Consolidado_A!$G$133&gt;=7.6%,-(0.0165+0.076)*F401,0)</f>
        <v>0</v>
      </c>
      <c r="I401" s="193"/>
      <c r="J401" s="561">
        <f t="shared" si="18"/>
        <v>0</v>
      </c>
      <c r="K401" s="193"/>
      <c r="L401" s="561">
        <f t="shared" si="19"/>
        <v>0</v>
      </c>
      <c r="M401" s="193"/>
      <c r="N401" s="561">
        <f t="shared" si="20"/>
        <v>0</v>
      </c>
    </row>
    <row r="402" spans="2:14" hidden="1">
      <c r="B402" s="745">
        <v>390</v>
      </c>
      <c r="C402" s="759"/>
      <c r="D402" s="760"/>
      <c r="E402" s="761"/>
      <c r="F402" s="762"/>
      <c r="G402" s="193"/>
      <c r="H402" s="555">
        <f>IF(Consolidado_A!$G$133&gt;=7.6%,-(0.0165+0.076)*F402,0)</f>
        <v>0</v>
      </c>
      <c r="I402" s="193"/>
      <c r="J402" s="561">
        <f t="shared" si="18"/>
        <v>0</v>
      </c>
      <c r="K402" s="193"/>
      <c r="L402" s="561">
        <f t="shared" si="19"/>
        <v>0</v>
      </c>
      <c r="M402" s="193"/>
      <c r="N402" s="561">
        <f t="shared" si="20"/>
        <v>0</v>
      </c>
    </row>
    <row r="403" spans="2:14" hidden="1">
      <c r="B403" s="745">
        <v>391</v>
      </c>
      <c r="C403" s="759"/>
      <c r="D403" s="760"/>
      <c r="E403" s="761"/>
      <c r="F403" s="762"/>
      <c r="G403" s="193"/>
      <c r="H403" s="555">
        <f>IF(Consolidado_A!$G$133&gt;=7.6%,-(0.0165+0.076)*F403,0)</f>
        <v>0</v>
      </c>
      <c r="I403" s="193"/>
      <c r="J403" s="561">
        <f t="shared" si="18"/>
        <v>0</v>
      </c>
      <c r="K403" s="193"/>
      <c r="L403" s="561">
        <f t="shared" si="19"/>
        <v>0</v>
      </c>
      <c r="M403" s="193"/>
      <c r="N403" s="561">
        <f t="shared" si="20"/>
        <v>0</v>
      </c>
    </row>
    <row r="404" spans="2:14" hidden="1">
      <c r="B404" s="745">
        <v>392</v>
      </c>
      <c r="C404" s="759"/>
      <c r="D404" s="760"/>
      <c r="E404" s="761"/>
      <c r="F404" s="762"/>
      <c r="G404" s="193"/>
      <c r="H404" s="555">
        <f>IF(Consolidado_A!$G$133&gt;=7.6%,-(0.0165+0.076)*F404,0)</f>
        <v>0</v>
      </c>
      <c r="I404" s="193"/>
      <c r="J404" s="561">
        <f t="shared" si="18"/>
        <v>0</v>
      </c>
      <c r="K404" s="193"/>
      <c r="L404" s="561">
        <f t="shared" si="19"/>
        <v>0</v>
      </c>
      <c r="M404" s="193"/>
      <c r="N404" s="561">
        <f t="shared" si="20"/>
        <v>0</v>
      </c>
    </row>
    <row r="405" spans="2:14" hidden="1">
      <c r="B405" s="745">
        <v>393</v>
      </c>
      <c r="C405" s="759"/>
      <c r="D405" s="760"/>
      <c r="E405" s="761"/>
      <c r="F405" s="762"/>
      <c r="G405" s="193"/>
      <c r="H405" s="555">
        <f>IF(Consolidado_A!$G$133&gt;=7.6%,-(0.0165+0.076)*F405,0)</f>
        <v>0</v>
      </c>
      <c r="I405" s="193"/>
      <c r="J405" s="561">
        <f t="shared" si="18"/>
        <v>0</v>
      </c>
      <c r="K405" s="193"/>
      <c r="L405" s="561">
        <f t="shared" si="19"/>
        <v>0</v>
      </c>
      <c r="M405" s="193"/>
      <c r="N405" s="561">
        <f t="shared" si="20"/>
        <v>0</v>
      </c>
    </row>
    <row r="406" spans="2:14" hidden="1">
      <c r="B406" s="745">
        <v>394</v>
      </c>
      <c r="C406" s="759"/>
      <c r="D406" s="760"/>
      <c r="E406" s="761"/>
      <c r="F406" s="762"/>
      <c r="G406" s="193"/>
      <c r="H406" s="555">
        <f>IF(Consolidado_A!$G$133&gt;=7.6%,-(0.0165+0.076)*F406,0)</f>
        <v>0</v>
      </c>
      <c r="I406" s="193"/>
      <c r="J406" s="561">
        <f t="shared" si="18"/>
        <v>0</v>
      </c>
      <c r="K406" s="193"/>
      <c r="L406" s="561">
        <f t="shared" si="19"/>
        <v>0</v>
      </c>
      <c r="M406" s="193"/>
      <c r="N406" s="561">
        <f t="shared" si="20"/>
        <v>0</v>
      </c>
    </row>
    <row r="407" spans="2:14" hidden="1">
      <c r="B407" s="745">
        <v>395</v>
      </c>
      <c r="C407" s="759"/>
      <c r="D407" s="760"/>
      <c r="E407" s="761"/>
      <c r="F407" s="762"/>
      <c r="G407" s="193"/>
      <c r="H407" s="555">
        <f>IF(Consolidado_A!$G$133&gt;=7.6%,-(0.0165+0.076)*F407,0)</f>
        <v>0</v>
      </c>
      <c r="I407" s="193"/>
      <c r="J407" s="561">
        <f t="shared" si="18"/>
        <v>0</v>
      </c>
      <c r="K407" s="193"/>
      <c r="L407" s="561">
        <f t="shared" si="19"/>
        <v>0</v>
      </c>
      <c r="M407" s="193"/>
      <c r="N407" s="561">
        <f t="shared" si="20"/>
        <v>0</v>
      </c>
    </row>
    <row r="408" spans="2:14" hidden="1">
      <c r="B408" s="745">
        <v>396</v>
      </c>
      <c r="C408" s="759"/>
      <c r="D408" s="760"/>
      <c r="E408" s="761"/>
      <c r="F408" s="762"/>
      <c r="G408" s="193"/>
      <c r="H408" s="555">
        <f>IF(Consolidado_A!$G$133&gt;=7.6%,-(0.0165+0.076)*F408,0)</f>
        <v>0</v>
      </c>
      <c r="I408" s="193"/>
      <c r="J408" s="561">
        <f t="shared" si="18"/>
        <v>0</v>
      </c>
      <c r="K408" s="193"/>
      <c r="L408" s="561">
        <f t="shared" si="19"/>
        <v>0</v>
      </c>
      <c r="M408" s="193"/>
      <c r="N408" s="561">
        <f t="shared" si="20"/>
        <v>0</v>
      </c>
    </row>
    <row r="409" spans="2:14" hidden="1">
      <c r="B409" s="745">
        <v>397</v>
      </c>
      <c r="C409" s="759"/>
      <c r="D409" s="760"/>
      <c r="E409" s="761"/>
      <c r="F409" s="762"/>
      <c r="G409" s="193"/>
      <c r="H409" s="555">
        <f>IF(Consolidado_A!$G$133&gt;=7.6%,-(0.0165+0.076)*F409,0)</f>
        <v>0</v>
      </c>
      <c r="I409" s="193"/>
      <c r="J409" s="561">
        <f t="shared" si="18"/>
        <v>0</v>
      </c>
      <c r="K409" s="193"/>
      <c r="L409" s="561">
        <f t="shared" si="19"/>
        <v>0</v>
      </c>
      <c r="M409" s="193"/>
      <c r="N409" s="561">
        <f t="shared" si="20"/>
        <v>0</v>
      </c>
    </row>
    <row r="410" spans="2:14" hidden="1">
      <c r="B410" s="745">
        <v>398</v>
      </c>
      <c r="C410" s="759"/>
      <c r="D410" s="760"/>
      <c r="E410" s="761"/>
      <c r="F410" s="762"/>
      <c r="G410" s="193"/>
      <c r="H410" s="555">
        <f>IF(Consolidado_A!$G$133&gt;=7.6%,-(0.0165+0.076)*F410,0)</f>
        <v>0</v>
      </c>
      <c r="I410" s="193"/>
      <c r="J410" s="561">
        <f t="shared" si="18"/>
        <v>0</v>
      </c>
      <c r="K410" s="193"/>
      <c r="L410" s="561">
        <f t="shared" si="19"/>
        <v>0</v>
      </c>
      <c r="M410" s="193"/>
      <c r="N410" s="561">
        <f t="shared" si="20"/>
        <v>0</v>
      </c>
    </row>
    <row r="411" spans="2:14" hidden="1">
      <c r="B411" s="745">
        <v>399</v>
      </c>
      <c r="C411" s="759"/>
      <c r="D411" s="760"/>
      <c r="E411" s="761"/>
      <c r="F411" s="762"/>
      <c r="G411" s="193"/>
      <c r="H411" s="555">
        <f>IF(Consolidado_A!$G$133&gt;=7.6%,-(0.0165+0.076)*F411,0)</f>
        <v>0</v>
      </c>
      <c r="I411" s="193"/>
      <c r="J411" s="561">
        <f t="shared" si="18"/>
        <v>0</v>
      </c>
      <c r="K411" s="193"/>
      <c r="L411" s="561">
        <f t="shared" si="19"/>
        <v>0</v>
      </c>
      <c r="M411" s="193"/>
      <c r="N411" s="561">
        <f t="shared" si="20"/>
        <v>0</v>
      </c>
    </row>
    <row r="412" spans="2:14" hidden="1">
      <c r="B412" s="745">
        <v>400</v>
      </c>
      <c r="C412" s="759"/>
      <c r="D412" s="760"/>
      <c r="E412" s="761"/>
      <c r="F412" s="762"/>
      <c r="G412" s="193"/>
      <c r="H412" s="555">
        <f>IF(Consolidado_A!$G$133&gt;=7.6%,-(0.0165+0.076)*F412,0)</f>
        <v>0</v>
      </c>
      <c r="I412" s="193"/>
      <c r="J412" s="561">
        <f t="shared" si="18"/>
        <v>0</v>
      </c>
      <c r="K412" s="193"/>
      <c r="L412" s="561">
        <f t="shared" si="19"/>
        <v>0</v>
      </c>
      <c r="M412" s="193"/>
      <c r="N412" s="561">
        <f t="shared" si="20"/>
        <v>0</v>
      </c>
    </row>
    <row r="413" spans="2:14" hidden="1">
      <c r="B413" s="745">
        <v>401</v>
      </c>
      <c r="C413" s="759"/>
      <c r="D413" s="760"/>
      <c r="E413" s="761"/>
      <c r="F413" s="762"/>
      <c r="G413" s="193"/>
      <c r="H413" s="555">
        <f>IF(Consolidado_A!$G$133&gt;=7.6%,-(0.0165+0.076)*F413,0)</f>
        <v>0</v>
      </c>
      <c r="I413" s="193"/>
      <c r="J413" s="561">
        <f t="shared" si="18"/>
        <v>0</v>
      </c>
      <c r="K413" s="193"/>
      <c r="L413" s="561">
        <f t="shared" si="19"/>
        <v>0</v>
      </c>
      <c r="M413" s="193"/>
      <c r="N413" s="561">
        <f t="shared" si="20"/>
        <v>0</v>
      </c>
    </row>
    <row r="414" spans="2:14" hidden="1">
      <c r="B414" s="745">
        <v>402</v>
      </c>
      <c r="C414" s="759"/>
      <c r="D414" s="760"/>
      <c r="E414" s="761"/>
      <c r="F414" s="762"/>
      <c r="G414" s="193"/>
      <c r="H414" s="555">
        <f>IF(Consolidado_A!$G$133&gt;=7.6%,-(0.0165+0.076)*F414,0)</f>
        <v>0</v>
      </c>
      <c r="I414" s="193"/>
      <c r="J414" s="561">
        <f t="shared" si="18"/>
        <v>0</v>
      </c>
      <c r="K414" s="193"/>
      <c r="L414" s="561">
        <f t="shared" si="19"/>
        <v>0</v>
      </c>
      <c r="M414" s="193"/>
      <c r="N414" s="561">
        <f t="shared" si="20"/>
        <v>0</v>
      </c>
    </row>
    <row r="415" spans="2:14" hidden="1">
      <c r="B415" s="745">
        <v>403</v>
      </c>
      <c r="C415" s="759"/>
      <c r="D415" s="760"/>
      <c r="E415" s="761"/>
      <c r="F415" s="762"/>
      <c r="G415" s="193"/>
      <c r="H415" s="555">
        <f>IF(Consolidado_A!$G$133&gt;=7.6%,-(0.0165+0.076)*F415,0)</f>
        <v>0</v>
      </c>
      <c r="I415" s="193"/>
      <c r="J415" s="561">
        <f t="shared" si="18"/>
        <v>0</v>
      </c>
      <c r="K415" s="193"/>
      <c r="L415" s="561">
        <f t="shared" si="19"/>
        <v>0</v>
      </c>
      <c r="M415" s="193"/>
      <c r="N415" s="561">
        <f t="shared" si="20"/>
        <v>0</v>
      </c>
    </row>
    <row r="416" spans="2:14" hidden="1">
      <c r="B416" s="745">
        <v>404</v>
      </c>
      <c r="C416" s="759"/>
      <c r="D416" s="760"/>
      <c r="E416" s="761"/>
      <c r="F416" s="762"/>
      <c r="G416" s="193"/>
      <c r="H416" s="555">
        <f>IF(Consolidado_A!$G$133&gt;=7.6%,-(0.0165+0.076)*F416,0)</f>
        <v>0</v>
      </c>
      <c r="I416" s="193"/>
      <c r="J416" s="561">
        <f t="shared" si="18"/>
        <v>0</v>
      </c>
      <c r="K416" s="193"/>
      <c r="L416" s="561">
        <f t="shared" si="19"/>
        <v>0</v>
      </c>
      <c r="M416" s="193"/>
      <c r="N416" s="561">
        <f t="shared" si="20"/>
        <v>0</v>
      </c>
    </row>
    <row r="417" spans="2:14" hidden="1">
      <c r="B417" s="745">
        <v>405</v>
      </c>
      <c r="C417" s="759"/>
      <c r="D417" s="760"/>
      <c r="E417" s="761"/>
      <c r="F417" s="762"/>
      <c r="G417" s="193"/>
      <c r="H417" s="555">
        <f>IF(Consolidado_A!$G$133&gt;=7.6%,-(0.0165+0.076)*F417,0)</f>
        <v>0</v>
      </c>
      <c r="I417" s="193"/>
      <c r="J417" s="561">
        <f t="shared" si="18"/>
        <v>0</v>
      </c>
      <c r="K417" s="193"/>
      <c r="L417" s="561">
        <f t="shared" si="19"/>
        <v>0</v>
      </c>
      <c r="M417" s="193"/>
      <c r="N417" s="561">
        <f t="shared" si="20"/>
        <v>0</v>
      </c>
    </row>
    <row r="418" spans="2:14" hidden="1">
      <c r="B418" s="745">
        <v>406</v>
      </c>
      <c r="C418" s="759"/>
      <c r="D418" s="760"/>
      <c r="E418" s="761"/>
      <c r="F418" s="762"/>
      <c r="G418" s="193"/>
      <c r="H418" s="555">
        <f>IF(Consolidado_A!$G$133&gt;=7.6%,-(0.0165+0.076)*F418,0)</f>
        <v>0</v>
      </c>
      <c r="I418" s="193"/>
      <c r="J418" s="561">
        <f t="shared" si="18"/>
        <v>0</v>
      </c>
      <c r="K418" s="193"/>
      <c r="L418" s="561">
        <f t="shared" si="19"/>
        <v>0</v>
      </c>
      <c r="M418" s="193"/>
      <c r="N418" s="561">
        <f t="shared" si="20"/>
        <v>0</v>
      </c>
    </row>
    <row r="419" spans="2:14" hidden="1">
      <c r="B419" s="745">
        <v>407</v>
      </c>
      <c r="C419" s="759"/>
      <c r="D419" s="760"/>
      <c r="E419" s="761"/>
      <c r="F419" s="762"/>
      <c r="G419" s="193"/>
      <c r="H419" s="555">
        <f>IF(Consolidado_A!$G$133&gt;=7.6%,-(0.0165+0.076)*F419,0)</f>
        <v>0</v>
      </c>
      <c r="I419" s="193"/>
      <c r="J419" s="561">
        <f t="shared" si="18"/>
        <v>0</v>
      </c>
      <c r="K419" s="193"/>
      <c r="L419" s="561">
        <f t="shared" si="19"/>
        <v>0</v>
      </c>
      <c r="M419" s="193"/>
      <c r="N419" s="561">
        <f t="shared" si="20"/>
        <v>0</v>
      </c>
    </row>
    <row r="420" spans="2:14" hidden="1">
      <c r="B420" s="745">
        <v>408</v>
      </c>
      <c r="C420" s="759"/>
      <c r="D420" s="760"/>
      <c r="E420" s="761"/>
      <c r="F420" s="762"/>
      <c r="G420" s="193"/>
      <c r="H420" s="555">
        <f>IF(Consolidado_A!$G$133&gt;=7.6%,-(0.0165+0.076)*F420,0)</f>
        <v>0</v>
      </c>
      <c r="I420" s="193"/>
      <c r="J420" s="561">
        <f t="shared" si="18"/>
        <v>0</v>
      </c>
      <c r="K420" s="193"/>
      <c r="L420" s="561">
        <f t="shared" si="19"/>
        <v>0</v>
      </c>
      <c r="M420" s="193"/>
      <c r="N420" s="561">
        <f t="shared" si="20"/>
        <v>0</v>
      </c>
    </row>
    <row r="421" spans="2:14" hidden="1">
      <c r="B421" s="745">
        <v>409</v>
      </c>
      <c r="C421" s="759"/>
      <c r="D421" s="760"/>
      <c r="E421" s="761"/>
      <c r="F421" s="762"/>
      <c r="G421" s="193"/>
      <c r="H421" s="555">
        <f>IF(Consolidado_A!$G$133&gt;=7.6%,-(0.0165+0.076)*F421,0)</f>
        <v>0</v>
      </c>
      <c r="I421" s="193"/>
      <c r="J421" s="561">
        <f t="shared" si="18"/>
        <v>0</v>
      </c>
      <c r="K421" s="193"/>
      <c r="L421" s="561">
        <f t="shared" si="19"/>
        <v>0</v>
      </c>
      <c r="M421" s="193"/>
      <c r="N421" s="561">
        <f t="shared" si="20"/>
        <v>0</v>
      </c>
    </row>
    <row r="422" spans="2:14" hidden="1">
      <c r="B422" s="745">
        <v>410</v>
      </c>
      <c r="C422" s="759"/>
      <c r="D422" s="760"/>
      <c r="E422" s="761"/>
      <c r="F422" s="762"/>
      <c r="G422" s="193"/>
      <c r="H422" s="555">
        <f>IF(Consolidado_A!$G$133&gt;=7.6%,-(0.0165+0.076)*F422,0)</f>
        <v>0</v>
      </c>
      <c r="I422" s="193"/>
      <c r="J422" s="561">
        <f t="shared" si="18"/>
        <v>0</v>
      </c>
      <c r="K422" s="193"/>
      <c r="L422" s="561">
        <f t="shared" si="19"/>
        <v>0</v>
      </c>
      <c r="M422" s="193"/>
      <c r="N422" s="561">
        <f t="shared" si="20"/>
        <v>0</v>
      </c>
    </row>
    <row r="423" spans="2:14" hidden="1">
      <c r="B423" s="745">
        <v>411</v>
      </c>
      <c r="C423" s="759"/>
      <c r="D423" s="760"/>
      <c r="E423" s="761"/>
      <c r="F423" s="762"/>
      <c r="G423" s="193"/>
      <c r="H423" s="555">
        <f>IF(Consolidado_A!$G$133&gt;=7.6%,-(0.0165+0.076)*F423,0)</f>
        <v>0</v>
      </c>
      <c r="I423" s="193"/>
      <c r="J423" s="561">
        <f t="shared" si="18"/>
        <v>0</v>
      </c>
      <c r="K423" s="193"/>
      <c r="L423" s="561">
        <f t="shared" si="19"/>
        <v>0</v>
      </c>
      <c r="M423" s="193"/>
      <c r="N423" s="561">
        <f t="shared" si="20"/>
        <v>0</v>
      </c>
    </row>
    <row r="424" spans="2:14" hidden="1">
      <c r="B424" s="745">
        <v>412</v>
      </c>
      <c r="C424" s="759"/>
      <c r="D424" s="760"/>
      <c r="E424" s="761"/>
      <c r="F424" s="762"/>
      <c r="G424" s="193"/>
      <c r="H424" s="555">
        <f>IF(Consolidado_A!$G$133&gt;=7.6%,-(0.0165+0.076)*F424,0)</f>
        <v>0</v>
      </c>
      <c r="I424" s="193"/>
      <c r="J424" s="561">
        <f t="shared" si="18"/>
        <v>0</v>
      </c>
      <c r="K424" s="193"/>
      <c r="L424" s="561">
        <f t="shared" si="19"/>
        <v>0</v>
      </c>
      <c r="M424" s="193"/>
      <c r="N424" s="561">
        <f t="shared" si="20"/>
        <v>0</v>
      </c>
    </row>
    <row r="425" spans="2:14" hidden="1">
      <c r="B425" s="745">
        <v>413</v>
      </c>
      <c r="C425" s="759"/>
      <c r="D425" s="760"/>
      <c r="E425" s="761"/>
      <c r="F425" s="762"/>
      <c r="G425" s="193"/>
      <c r="H425" s="555">
        <f>IF(Consolidado_A!$G$133&gt;=7.6%,-(0.0165+0.076)*F425,0)</f>
        <v>0</v>
      </c>
      <c r="I425" s="193"/>
      <c r="J425" s="561">
        <f t="shared" si="18"/>
        <v>0</v>
      </c>
      <c r="K425" s="193"/>
      <c r="L425" s="561">
        <f t="shared" si="19"/>
        <v>0</v>
      </c>
      <c r="M425" s="193"/>
      <c r="N425" s="561">
        <f t="shared" si="20"/>
        <v>0</v>
      </c>
    </row>
    <row r="426" spans="2:14" hidden="1">
      <c r="B426" s="745">
        <v>414</v>
      </c>
      <c r="C426" s="759"/>
      <c r="D426" s="760"/>
      <c r="E426" s="761"/>
      <c r="F426" s="762"/>
      <c r="G426" s="193"/>
      <c r="H426" s="555">
        <f>IF(Consolidado_A!$G$133&gt;=7.6%,-(0.0165+0.076)*F426,0)</f>
        <v>0</v>
      </c>
      <c r="I426" s="193"/>
      <c r="J426" s="561">
        <f t="shared" si="18"/>
        <v>0</v>
      </c>
      <c r="K426" s="193"/>
      <c r="L426" s="561">
        <f t="shared" si="19"/>
        <v>0</v>
      </c>
      <c r="M426" s="193"/>
      <c r="N426" s="561">
        <f t="shared" si="20"/>
        <v>0</v>
      </c>
    </row>
    <row r="427" spans="2:14" hidden="1">
      <c r="B427" s="745">
        <v>415</v>
      </c>
      <c r="C427" s="759"/>
      <c r="D427" s="760"/>
      <c r="E427" s="761"/>
      <c r="F427" s="762"/>
      <c r="G427" s="193"/>
      <c r="H427" s="555">
        <f>IF(Consolidado_A!$G$133&gt;=7.6%,-(0.0165+0.076)*F427,0)</f>
        <v>0</v>
      </c>
      <c r="I427" s="193"/>
      <c r="J427" s="561">
        <f t="shared" si="18"/>
        <v>0</v>
      </c>
      <c r="K427" s="193"/>
      <c r="L427" s="561">
        <f t="shared" si="19"/>
        <v>0</v>
      </c>
      <c r="M427" s="193"/>
      <c r="N427" s="561">
        <f t="shared" si="20"/>
        <v>0</v>
      </c>
    </row>
    <row r="428" spans="2:14" hidden="1">
      <c r="B428" s="745">
        <v>416</v>
      </c>
      <c r="C428" s="759"/>
      <c r="D428" s="760"/>
      <c r="E428" s="761"/>
      <c r="F428" s="762"/>
      <c r="G428" s="193"/>
      <c r="H428" s="555">
        <f>IF(Consolidado_A!$G$133&gt;=7.6%,-(0.0165+0.076)*F428,0)</f>
        <v>0</v>
      </c>
      <c r="I428" s="193"/>
      <c r="J428" s="561">
        <f t="shared" si="18"/>
        <v>0</v>
      </c>
      <c r="K428" s="193"/>
      <c r="L428" s="561">
        <f t="shared" si="19"/>
        <v>0</v>
      </c>
      <c r="M428" s="193"/>
      <c r="N428" s="561">
        <f t="shared" si="20"/>
        <v>0</v>
      </c>
    </row>
    <row r="429" spans="2:14" hidden="1">
      <c r="B429" s="745">
        <v>417</v>
      </c>
      <c r="C429" s="759"/>
      <c r="D429" s="760"/>
      <c r="E429" s="761"/>
      <c r="F429" s="762"/>
      <c r="G429" s="193"/>
      <c r="H429" s="555">
        <f>IF(Consolidado_A!$G$133&gt;=7.6%,-(0.0165+0.076)*F429,0)</f>
        <v>0</v>
      </c>
      <c r="I429" s="193"/>
      <c r="J429" s="561">
        <f t="shared" si="18"/>
        <v>0</v>
      </c>
      <c r="K429" s="193"/>
      <c r="L429" s="561">
        <f t="shared" si="19"/>
        <v>0</v>
      </c>
      <c r="M429" s="193"/>
      <c r="N429" s="561">
        <f t="shared" si="20"/>
        <v>0</v>
      </c>
    </row>
    <row r="430" spans="2:14" hidden="1">
      <c r="B430" s="745">
        <v>418</v>
      </c>
      <c r="C430" s="759"/>
      <c r="D430" s="760"/>
      <c r="E430" s="761"/>
      <c r="F430" s="762"/>
      <c r="G430" s="193"/>
      <c r="H430" s="555">
        <f>IF(Consolidado_A!$G$133&gt;=7.6%,-(0.0165+0.076)*F430,0)</f>
        <v>0</v>
      </c>
      <c r="I430" s="193"/>
      <c r="J430" s="561">
        <f t="shared" si="18"/>
        <v>0</v>
      </c>
      <c r="K430" s="193"/>
      <c r="L430" s="561">
        <f t="shared" si="19"/>
        <v>0</v>
      </c>
      <c r="M430" s="193"/>
      <c r="N430" s="561">
        <f t="shared" si="20"/>
        <v>0</v>
      </c>
    </row>
    <row r="431" spans="2:14" hidden="1">
      <c r="B431" s="745">
        <v>419</v>
      </c>
      <c r="C431" s="759"/>
      <c r="D431" s="760"/>
      <c r="E431" s="761"/>
      <c r="F431" s="762"/>
      <c r="G431" s="193"/>
      <c r="H431" s="555">
        <f>IF(Consolidado_A!$G$133&gt;=7.6%,-(0.0165+0.076)*F431,0)</f>
        <v>0</v>
      </c>
      <c r="I431" s="193"/>
      <c r="J431" s="561">
        <f t="shared" si="18"/>
        <v>0</v>
      </c>
      <c r="K431" s="193"/>
      <c r="L431" s="561">
        <f t="shared" si="19"/>
        <v>0</v>
      </c>
      <c r="M431" s="193"/>
      <c r="N431" s="561">
        <f t="shared" si="20"/>
        <v>0</v>
      </c>
    </row>
    <row r="432" spans="2:14" hidden="1">
      <c r="B432" s="745">
        <v>420</v>
      </c>
      <c r="C432" s="759"/>
      <c r="D432" s="760"/>
      <c r="E432" s="761"/>
      <c r="F432" s="762"/>
      <c r="G432" s="193"/>
      <c r="H432" s="555">
        <f>IF(Consolidado_A!$G$133&gt;=7.6%,-(0.0165+0.076)*F432,0)</f>
        <v>0</v>
      </c>
      <c r="I432" s="193"/>
      <c r="J432" s="561">
        <f t="shared" si="18"/>
        <v>0</v>
      </c>
      <c r="K432" s="193"/>
      <c r="L432" s="561">
        <f t="shared" si="19"/>
        <v>0</v>
      </c>
      <c r="M432" s="193"/>
      <c r="N432" s="561">
        <f t="shared" si="20"/>
        <v>0</v>
      </c>
    </row>
    <row r="433" spans="2:14" hidden="1">
      <c r="B433" s="745">
        <v>421</v>
      </c>
      <c r="C433" s="759"/>
      <c r="D433" s="760"/>
      <c r="E433" s="761"/>
      <c r="F433" s="762"/>
      <c r="G433" s="193"/>
      <c r="H433" s="555">
        <f>IF(Consolidado_A!$G$133&gt;=7.6%,-(0.0165+0.076)*F433,0)</f>
        <v>0</v>
      </c>
      <c r="I433" s="193"/>
      <c r="J433" s="561">
        <f t="shared" si="18"/>
        <v>0</v>
      </c>
      <c r="K433" s="193"/>
      <c r="L433" s="561">
        <f t="shared" si="19"/>
        <v>0</v>
      </c>
      <c r="M433" s="193"/>
      <c r="N433" s="561">
        <f t="shared" si="20"/>
        <v>0</v>
      </c>
    </row>
    <row r="434" spans="2:14" hidden="1">
      <c r="B434" s="745">
        <v>422</v>
      </c>
      <c r="C434" s="759"/>
      <c r="D434" s="760"/>
      <c r="E434" s="761"/>
      <c r="F434" s="762"/>
      <c r="G434" s="193"/>
      <c r="H434" s="555">
        <f>IF(Consolidado_A!$G$133&gt;=7.6%,-(0.0165+0.076)*F434,0)</f>
        <v>0</v>
      </c>
      <c r="I434" s="193"/>
      <c r="J434" s="561">
        <f t="shared" si="18"/>
        <v>0</v>
      </c>
      <c r="K434" s="193"/>
      <c r="L434" s="561">
        <f t="shared" si="19"/>
        <v>0</v>
      </c>
      <c r="M434" s="193"/>
      <c r="N434" s="561">
        <f t="shared" si="20"/>
        <v>0</v>
      </c>
    </row>
    <row r="435" spans="2:14" hidden="1">
      <c r="B435" s="745">
        <v>423</v>
      </c>
      <c r="C435" s="759"/>
      <c r="D435" s="760"/>
      <c r="E435" s="761"/>
      <c r="F435" s="762"/>
      <c r="G435" s="193"/>
      <c r="H435" s="555">
        <f>IF(Consolidado_A!$G$133&gt;=7.6%,-(0.0165+0.076)*F435,0)</f>
        <v>0</v>
      </c>
      <c r="I435" s="193"/>
      <c r="J435" s="561">
        <f t="shared" si="18"/>
        <v>0</v>
      </c>
      <c r="K435" s="193"/>
      <c r="L435" s="561">
        <f t="shared" si="19"/>
        <v>0</v>
      </c>
      <c r="M435" s="193"/>
      <c r="N435" s="561">
        <f t="shared" si="20"/>
        <v>0</v>
      </c>
    </row>
    <row r="436" spans="2:14" hidden="1">
      <c r="B436" s="745">
        <v>424</v>
      </c>
      <c r="C436" s="759"/>
      <c r="D436" s="760"/>
      <c r="E436" s="761"/>
      <c r="F436" s="762"/>
      <c r="G436" s="193"/>
      <c r="H436" s="555">
        <f>IF(Consolidado_A!$G$133&gt;=7.6%,-(0.0165+0.076)*F436,0)</f>
        <v>0</v>
      </c>
      <c r="I436" s="193"/>
      <c r="J436" s="561">
        <f t="shared" si="18"/>
        <v>0</v>
      </c>
      <c r="K436" s="193"/>
      <c r="L436" s="561">
        <f t="shared" si="19"/>
        <v>0</v>
      </c>
      <c r="M436" s="193"/>
      <c r="N436" s="561">
        <f t="shared" si="20"/>
        <v>0</v>
      </c>
    </row>
    <row r="437" spans="2:14" hidden="1">
      <c r="B437" s="745">
        <v>425</v>
      </c>
      <c r="C437" s="759"/>
      <c r="D437" s="760"/>
      <c r="E437" s="761"/>
      <c r="F437" s="762"/>
      <c r="G437" s="193"/>
      <c r="H437" s="555">
        <f>IF(Consolidado_A!$G$133&gt;=7.6%,-(0.0165+0.076)*F437,0)</f>
        <v>0</v>
      </c>
      <c r="I437" s="193"/>
      <c r="J437" s="561">
        <f t="shared" si="18"/>
        <v>0</v>
      </c>
      <c r="K437" s="193"/>
      <c r="L437" s="561">
        <f t="shared" si="19"/>
        <v>0</v>
      </c>
      <c r="M437" s="193"/>
      <c r="N437" s="561">
        <f t="shared" si="20"/>
        <v>0</v>
      </c>
    </row>
    <row r="438" spans="2:14" hidden="1">
      <c r="B438" s="745">
        <v>426</v>
      </c>
      <c r="C438" s="759"/>
      <c r="D438" s="760"/>
      <c r="E438" s="761"/>
      <c r="F438" s="762"/>
      <c r="G438" s="193"/>
      <c r="H438" s="555">
        <f>IF(Consolidado_A!$G$133&gt;=7.6%,-(0.0165+0.076)*F438,0)</f>
        <v>0</v>
      </c>
      <c r="I438" s="193"/>
      <c r="J438" s="561">
        <f t="shared" si="18"/>
        <v>0</v>
      </c>
      <c r="K438" s="193"/>
      <c r="L438" s="561">
        <f t="shared" si="19"/>
        <v>0</v>
      </c>
      <c r="M438" s="193"/>
      <c r="N438" s="561">
        <f t="shared" si="20"/>
        <v>0</v>
      </c>
    </row>
    <row r="439" spans="2:14" hidden="1">
      <c r="B439" s="745">
        <v>427</v>
      </c>
      <c r="C439" s="759"/>
      <c r="D439" s="760"/>
      <c r="E439" s="761"/>
      <c r="F439" s="762"/>
      <c r="G439" s="193"/>
      <c r="H439" s="555">
        <f>IF(Consolidado_A!$G$133&gt;=7.6%,-(0.0165+0.076)*F439,0)</f>
        <v>0</v>
      </c>
      <c r="I439" s="193"/>
      <c r="J439" s="561">
        <f t="shared" si="18"/>
        <v>0</v>
      </c>
      <c r="K439" s="193"/>
      <c r="L439" s="561">
        <f t="shared" si="19"/>
        <v>0</v>
      </c>
      <c r="M439" s="193"/>
      <c r="N439" s="561">
        <f t="shared" si="20"/>
        <v>0</v>
      </c>
    </row>
    <row r="440" spans="2:14" hidden="1">
      <c r="B440" s="745">
        <v>428</v>
      </c>
      <c r="C440" s="759"/>
      <c r="D440" s="760"/>
      <c r="E440" s="761"/>
      <c r="F440" s="762"/>
      <c r="G440" s="193"/>
      <c r="H440" s="555">
        <f>IF(Consolidado_A!$G$133&gt;=7.6%,-(0.0165+0.076)*F440,0)</f>
        <v>0</v>
      </c>
      <c r="I440" s="193"/>
      <c r="J440" s="561">
        <f t="shared" si="18"/>
        <v>0</v>
      </c>
      <c r="K440" s="193"/>
      <c r="L440" s="561">
        <f t="shared" si="19"/>
        <v>0</v>
      </c>
      <c r="M440" s="193"/>
      <c r="N440" s="561">
        <f t="shared" si="20"/>
        <v>0</v>
      </c>
    </row>
    <row r="441" spans="2:14" hidden="1">
      <c r="B441" s="745">
        <v>429</v>
      </c>
      <c r="C441" s="759"/>
      <c r="D441" s="760"/>
      <c r="E441" s="761"/>
      <c r="F441" s="762"/>
      <c r="G441" s="193"/>
      <c r="H441" s="555">
        <f>IF(Consolidado_A!$G$133&gt;=7.6%,-(0.0165+0.076)*F441,0)</f>
        <v>0</v>
      </c>
      <c r="I441" s="193"/>
      <c r="J441" s="561">
        <f t="shared" si="18"/>
        <v>0</v>
      </c>
      <c r="K441" s="193"/>
      <c r="L441" s="561">
        <f t="shared" si="19"/>
        <v>0</v>
      </c>
      <c r="M441" s="193"/>
      <c r="N441" s="561">
        <f t="shared" si="20"/>
        <v>0</v>
      </c>
    </row>
    <row r="442" spans="2:14" hidden="1">
      <c r="B442" s="745">
        <v>430</v>
      </c>
      <c r="C442" s="759"/>
      <c r="D442" s="760"/>
      <c r="E442" s="761"/>
      <c r="F442" s="762"/>
      <c r="G442" s="193"/>
      <c r="H442" s="555">
        <f>IF(Consolidado_A!$G$133&gt;=7.6%,-(0.0165+0.076)*F442,0)</f>
        <v>0</v>
      </c>
      <c r="I442" s="193"/>
      <c r="J442" s="561">
        <f t="shared" si="18"/>
        <v>0</v>
      </c>
      <c r="K442" s="193"/>
      <c r="L442" s="561">
        <f t="shared" si="19"/>
        <v>0</v>
      </c>
      <c r="M442" s="193"/>
      <c r="N442" s="561">
        <f t="shared" si="20"/>
        <v>0</v>
      </c>
    </row>
    <row r="443" spans="2:14" hidden="1">
      <c r="B443" s="745">
        <v>431</v>
      </c>
      <c r="C443" s="759"/>
      <c r="D443" s="760"/>
      <c r="E443" s="761"/>
      <c r="F443" s="762"/>
      <c r="G443" s="193"/>
      <c r="H443" s="555">
        <f>IF(Consolidado_A!$G$133&gt;=7.6%,-(0.0165+0.076)*F443,0)</f>
        <v>0</v>
      </c>
      <c r="I443" s="193"/>
      <c r="J443" s="561">
        <f t="shared" si="18"/>
        <v>0</v>
      </c>
      <c r="K443" s="193"/>
      <c r="L443" s="561">
        <f t="shared" si="19"/>
        <v>0</v>
      </c>
      <c r="M443" s="193"/>
      <c r="N443" s="561">
        <f t="shared" si="20"/>
        <v>0</v>
      </c>
    </row>
    <row r="444" spans="2:14" hidden="1">
      <c r="B444" s="745">
        <v>432</v>
      </c>
      <c r="C444" s="759"/>
      <c r="D444" s="760"/>
      <c r="E444" s="761"/>
      <c r="F444" s="762"/>
      <c r="G444" s="193"/>
      <c r="H444" s="555">
        <f>IF(Consolidado_A!$G$133&gt;=7.6%,-(0.0165+0.076)*F444,0)</f>
        <v>0</v>
      </c>
      <c r="I444" s="193"/>
      <c r="J444" s="561">
        <f t="shared" si="18"/>
        <v>0</v>
      </c>
      <c r="K444" s="193"/>
      <c r="L444" s="561">
        <f t="shared" si="19"/>
        <v>0</v>
      </c>
      <c r="M444" s="193"/>
      <c r="N444" s="561">
        <f t="shared" si="20"/>
        <v>0</v>
      </c>
    </row>
    <row r="445" spans="2:14" hidden="1">
      <c r="B445" s="745">
        <v>433</v>
      </c>
      <c r="C445" s="759"/>
      <c r="D445" s="760"/>
      <c r="E445" s="761"/>
      <c r="F445" s="762"/>
      <c r="G445" s="193"/>
      <c r="H445" s="555">
        <f>IF(Consolidado_A!$G$133&gt;=7.6%,-(0.0165+0.076)*F445,0)</f>
        <v>0</v>
      </c>
      <c r="I445" s="193"/>
      <c r="J445" s="561">
        <f t="shared" si="18"/>
        <v>0</v>
      </c>
      <c r="K445" s="193"/>
      <c r="L445" s="561">
        <f t="shared" si="19"/>
        <v>0</v>
      </c>
      <c r="M445" s="193"/>
      <c r="N445" s="561">
        <f t="shared" si="20"/>
        <v>0</v>
      </c>
    </row>
    <row r="446" spans="2:14" hidden="1">
      <c r="B446" s="745">
        <v>434</v>
      </c>
      <c r="C446" s="759"/>
      <c r="D446" s="760"/>
      <c r="E446" s="761"/>
      <c r="F446" s="762"/>
      <c r="G446" s="193"/>
      <c r="H446" s="555">
        <f>IF(Consolidado_A!$G$133&gt;=7.6%,-(0.0165+0.076)*F446,0)</f>
        <v>0</v>
      </c>
      <c r="I446" s="193"/>
      <c r="J446" s="561">
        <f t="shared" si="18"/>
        <v>0</v>
      </c>
      <c r="K446" s="193"/>
      <c r="L446" s="561">
        <f t="shared" si="19"/>
        <v>0</v>
      </c>
      <c r="M446" s="193"/>
      <c r="N446" s="561">
        <f t="shared" si="20"/>
        <v>0</v>
      </c>
    </row>
    <row r="447" spans="2:14" hidden="1">
      <c r="B447" s="745">
        <v>435</v>
      </c>
      <c r="C447" s="759"/>
      <c r="D447" s="760"/>
      <c r="E447" s="761"/>
      <c r="F447" s="762"/>
      <c r="G447" s="193"/>
      <c r="H447" s="555">
        <f>IF(Consolidado_A!$G$133&gt;=7.6%,-(0.0165+0.076)*F447,0)</f>
        <v>0</v>
      </c>
      <c r="I447" s="193"/>
      <c r="J447" s="561">
        <f t="shared" si="18"/>
        <v>0</v>
      </c>
      <c r="K447" s="193"/>
      <c r="L447" s="561">
        <f t="shared" si="19"/>
        <v>0</v>
      </c>
      <c r="M447" s="193"/>
      <c r="N447" s="561">
        <f t="shared" si="20"/>
        <v>0</v>
      </c>
    </row>
    <row r="448" spans="2:14" hidden="1">
      <c r="B448" s="745">
        <v>436</v>
      </c>
      <c r="C448" s="759"/>
      <c r="D448" s="760"/>
      <c r="E448" s="761"/>
      <c r="F448" s="762"/>
      <c r="G448" s="193"/>
      <c r="H448" s="555">
        <f>IF(Consolidado_A!$G$133&gt;=7.6%,-(0.0165+0.076)*F448,0)</f>
        <v>0</v>
      </c>
      <c r="I448" s="193"/>
      <c r="J448" s="561">
        <f t="shared" si="18"/>
        <v>0</v>
      </c>
      <c r="K448" s="193"/>
      <c r="L448" s="561">
        <f t="shared" si="19"/>
        <v>0</v>
      </c>
      <c r="M448" s="193"/>
      <c r="N448" s="561">
        <f t="shared" si="20"/>
        <v>0</v>
      </c>
    </row>
    <row r="449" spans="2:14" hidden="1">
      <c r="B449" s="745">
        <v>437</v>
      </c>
      <c r="C449" s="759"/>
      <c r="D449" s="760"/>
      <c r="E449" s="761"/>
      <c r="F449" s="762"/>
      <c r="G449" s="193"/>
      <c r="H449" s="555">
        <f>IF(Consolidado_A!$G$133&gt;=7.6%,-(0.0165+0.076)*F449,0)</f>
        <v>0</v>
      </c>
      <c r="I449" s="193"/>
      <c r="J449" s="561">
        <f t="shared" si="18"/>
        <v>0</v>
      </c>
      <c r="K449" s="193"/>
      <c r="L449" s="561">
        <f t="shared" si="19"/>
        <v>0</v>
      </c>
      <c r="M449" s="193"/>
      <c r="N449" s="561">
        <f t="shared" si="20"/>
        <v>0</v>
      </c>
    </row>
    <row r="450" spans="2:14" hidden="1">
      <c r="B450" s="745">
        <v>438</v>
      </c>
      <c r="C450" s="759"/>
      <c r="D450" s="760"/>
      <c r="E450" s="761"/>
      <c r="F450" s="762"/>
      <c r="G450" s="193"/>
      <c r="H450" s="555">
        <f>IF(Consolidado_A!$G$133&gt;=7.6%,-(0.0165+0.076)*F450,0)</f>
        <v>0</v>
      </c>
      <c r="I450" s="193"/>
      <c r="J450" s="561">
        <f t="shared" si="18"/>
        <v>0</v>
      </c>
      <c r="K450" s="193"/>
      <c r="L450" s="561">
        <f t="shared" si="19"/>
        <v>0</v>
      </c>
      <c r="M450" s="193"/>
      <c r="N450" s="561">
        <f t="shared" si="20"/>
        <v>0</v>
      </c>
    </row>
    <row r="451" spans="2:14" hidden="1">
      <c r="B451" s="745">
        <v>439</v>
      </c>
      <c r="C451" s="759"/>
      <c r="D451" s="760"/>
      <c r="E451" s="761"/>
      <c r="F451" s="762"/>
      <c r="G451" s="193"/>
      <c r="H451" s="555">
        <f>IF(Consolidado_A!$G$133&gt;=7.6%,-(0.0165+0.076)*F451,0)</f>
        <v>0</v>
      </c>
      <c r="I451" s="193"/>
      <c r="J451" s="561">
        <f t="shared" si="18"/>
        <v>0</v>
      </c>
      <c r="K451" s="193"/>
      <c r="L451" s="561">
        <f t="shared" si="19"/>
        <v>0</v>
      </c>
      <c r="M451" s="193"/>
      <c r="N451" s="561">
        <f t="shared" si="20"/>
        <v>0</v>
      </c>
    </row>
    <row r="452" spans="2:14" hidden="1">
      <c r="B452" s="745">
        <v>440</v>
      </c>
      <c r="C452" s="759"/>
      <c r="D452" s="760"/>
      <c r="E452" s="761"/>
      <c r="F452" s="762"/>
      <c r="G452" s="193"/>
      <c r="H452" s="555">
        <f>IF(Consolidado_A!$G$133&gt;=7.6%,-(0.0165+0.076)*F452,0)</f>
        <v>0</v>
      </c>
      <c r="I452" s="193"/>
      <c r="J452" s="561">
        <f t="shared" si="18"/>
        <v>0</v>
      </c>
      <c r="K452" s="193"/>
      <c r="L452" s="561">
        <f t="shared" si="19"/>
        <v>0</v>
      </c>
      <c r="M452" s="193"/>
      <c r="N452" s="561">
        <f t="shared" si="20"/>
        <v>0</v>
      </c>
    </row>
    <row r="453" spans="2:14" hidden="1">
      <c r="B453" s="745">
        <v>441</v>
      </c>
      <c r="C453" s="759"/>
      <c r="D453" s="760"/>
      <c r="E453" s="761"/>
      <c r="F453" s="762"/>
      <c r="G453" s="193"/>
      <c r="H453" s="555">
        <f>IF(Consolidado_A!$G$133&gt;=7.6%,-(0.0165+0.076)*F453,0)</f>
        <v>0</v>
      </c>
      <c r="I453" s="193"/>
      <c r="J453" s="561">
        <f t="shared" si="18"/>
        <v>0</v>
      </c>
      <c r="K453" s="193"/>
      <c r="L453" s="561">
        <f t="shared" si="19"/>
        <v>0</v>
      </c>
      <c r="M453" s="193"/>
      <c r="N453" s="561">
        <f t="shared" si="20"/>
        <v>0</v>
      </c>
    </row>
    <row r="454" spans="2:14" hidden="1">
      <c r="B454" s="745">
        <v>442</v>
      </c>
      <c r="C454" s="759"/>
      <c r="D454" s="760"/>
      <c r="E454" s="761"/>
      <c r="F454" s="762"/>
      <c r="G454" s="193"/>
      <c r="H454" s="555">
        <f>IF(Consolidado_A!$G$133&gt;=7.6%,-(0.0165+0.076)*F454,0)</f>
        <v>0</v>
      </c>
      <c r="I454" s="193"/>
      <c r="J454" s="561">
        <f t="shared" si="18"/>
        <v>0</v>
      </c>
      <c r="K454" s="193"/>
      <c r="L454" s="561">
        <f t="shared" si="19"/>
        <v>0</v>
      </c>
      <c r="M454" s="193"/>
      <c r="N454" s="561">
        <f t="shared" si="20"/>
        <v>0</v>
      </c>
    </row>
    <row r="455" spans="2:14" hidden="1">
      <c r="B455" s="745">
        <v>443</v>
      </c>
      <c r="C455" s="759"/>
      <c r="D455" s="760"/>
      <c r="E455" s="761"/>
      <c r="F455" s="762"/>
      <c r="G455" s="193"/>
      <c r="H455" s="555">
        <f>IF(Consolidado_A!$G$133&gt;=7.6%,-(0.0165+0.076)*F455,0)</f>
        <v>0</v>
      </c>
      <c r="I455" s="193"/>
      <c r="J455" s="561">
        <f t="shared" si="18"/>
        <v>0</v>
      </c>
      <c r="K455" s="193"/>
      <c r="L455" s="561">
        <f t="shared" si="19"/>
        <v>0</v>
      </c>
      <c r="M455" s="193"/>
      <c r="N455" s="561">
        <f t="shared" si="20"/>
        <v>0</v>
      </c>
    </row>
    <row r="456" spans="2:14" hidden="1">
      <c r="B456" s="745">
        <v>444</v>
      </c>
      <c r="C456" s="759"/>
      <c r="D456" s="760"/>
      <c r="E456" s="761"/>
      <c r="F456" s="762"/>
      <c r="G456" s="193"/>
      <c r="H456" s="555">
        <f>IF(Consolidado_A!$G$133&gt;=7.6%,-(0.0165+0.076)*F456,0)</f>
        <v>0</v>
      </c>
      <c r="I456" s="193"/>
      <c r="J456" s="561">
        <f t="shared" si="18"/>
        <v>0</v>
      </c>
      <c r="K456" s="193"/>
      <c r="L456" s="561">
        <f t="shared" si="19"/>
        <v>0</v>
      </c>
      <c r="M456" s="193"/>
      <c r="N456" s="561">
        <f t="shared" si="20"/>
        <v>0</v>
      </c>
    </row>
    <row r="457" spans="2:14" hidden="1">
      <c r="B457" s="745">
        <v>445</v>
      </c>
      <c r="C457" s="759"/>
      <c r="D457" s="760"/>
      <c r="E457" s="761"/>
      <c r="F457" s="762"/>
      <c r="G457" s="193"/>
      <c r="H457" s="555">
        <f>IF(Consolidado_A!$G$133&gt;=7.6%,-(0.0165+0.076)*F457,0)</f>
        <v>0</v>
      </c>
      <c r="I457" s="193"/>
      <c r="J457" s="561">
        <f t="shared" si="18"/>
        <v>0</v>
      </c>
      <c r="K457" s="193"/>
      <c r="L457" s="561">
        <f t="shared" si="19"/>
        <v>0</v>
      </c>
      <c r="M457" s="193"/>
      <c r="N457" s="561">
        <f t="shared" si="20"/>
        <v>0</v>
      </c>
    </row>
    <row r="458" spans="2:14" hidden="1">
      <c r="B458" s="745">
        <v>446</v>
      </c>
      <c r="C458" s="759"/>
      <c r="D458" s="760"/>
      <c r="E458" s="761"/>
      <c r="F458" s="762"/>
      <c r="G458" s="193"/>
      <c r="H458" s="555">
        <f>IF(Consolidado_A!$G$133&gt;=7.6%,-(0.0165+0.076)*F458,0)</f>
        <v>0</v>
      </c>
      <c r="I458" s="193"/>
      <c r="J458" s="561">
        <f t="shared" si="18"/>
        <v>0</v>
      </c>
      <c r="K458" s="193"/>
      <c r="L458" s="561">
        <f t="shared" si="19"/>
        <v>0</v>
      </c>
      <c r="M458" s="193"/>
      <c r="N458" s="561">
        <f t="shared" si="20"/>
        <v>0</v>
      </c>
    </row>
    <row r="459" spans="2:14" hidden="1">
      <c r="B459" s="745">
        <v>447</v>
      </c>
      <c r="C459" s="759"/>
      <c r="D459" s="760"/>
      <c r="E459" s="761"/>
      <c r="F459" s="762"/>
      <c r="G459" s="193"/>
      <c r="H459" s="555">
        <f>IF(Consolidado_A!$G$133&gt;=7.6%,-(0.0165+0.076)*F459,0)</f>
        <v>0</v>
      </c>
      <c r="I459" s="193"/>
      <c r="J459" s="561">
        <f t="shared" si="18"/>
        <v>0</v>
      </c>
      <c r="K459" s="193"/>
      <c r="L459" s="561">
        <f t="shared" si="19"/>
        <v>0</v>
      </c>
      <c r="M459" s="193"/>
      <c r="N459" s="561">
        <f t="shared" si="20"/>
        <v>0</v>
      </c>
    </row>
    <row r="460" spans="2:14" hidden="1">
      <c r="B460" s="745">
        <v>448</v>
      </c>
      <c r="C460" s="759"/>
      <c r="D460" s="760"/>
      <c r="E460" s="761"/>
      <c r="F460" s="762"/>
      <c r="G460" s="193"/>
      <c r="H460" s="555">
        <f>IF(Consolidado_A!$G$133&gt;=7.6%,-(0.0165+0.076)*F460,0)</f>
        <v>0</v>
      </c>
      <c r="I460" s="193"/>
      <c r="J460" s="561">
        <f t="shared" si="18"/>
        <v>0</v>
      </c>
      <c r="K460" s="193"/>
      <c r="L460" s="561">
        <f t="shared" si="19"/>
        <v>0</v>
      </c>
      <c r="M460" s="193"/>
      <c r="N460" s="561">
        <f t="shared" si="20"/>
        <v>0</v>
      </c>
    </row>
    <row r="461" spans="2:14" hidden="1">
      <c r="B461" s="745">
        <v>449</v>
      </c>
      <c r="C461" s="759"/>
      <c r="D461" s="760"/>
      <c r="E461" s="761"/>
      <c r="F461" s="762"/>
      <c r="G461" s="193"/>
      <c r="H461" s="555">
        <f>IF(Consolidado_A!$G$133&gt;=7.6%,-(0.0165+0.076)*F461,0)</f>
        <v>0</v>
      </c>
      <c r="I461" s="193"/>
      <c r="J461" s="561">
        <f t="shared" ref="J461:J524" si="21">F461+H461</f>
        <v>0</v>
      </c>
      <c r="K461" s="193"/>
      <c r="L461" s="561">
        <f t="shared" ref="L461:L524" si="22">J461*E461</f>
        <v>0</v>
      </c>
      <c r="M461" s="193"/>
      <c r="N461" s="561">
        <f t="shared" ref="N461:N524" si="23">L461*12</f>
        <v>0</v>
      </c>
    </row>
    <row r="462" spans="2:14" hidden="1">
      <c r="B462" s="745">
        <v>450</v>
      </c>
      <c r="C462" s="759"/>
      <c r="D462" s="760"/>
      <c r="E462" s="761"/>
      <c r="F462" s="762"/>
      <c r="G462" s="193"/>
      <c r="H462" s="555">
        <f>IF(Consolidado_A!$G$133&gt;=7.6%,-(0.0165+0.076)*F462,0)</f>
        <v>0</v>
      </c>
      <c r="I462" s="193"/>
      <c r="J462" s="561">
        <f t="shared" si="21"/>
        <v>0</v>
      </c>
      <c r="K462" s="193"/>
      <c r="L462" s="561">
        <f t="shared" si="22"/>
        <v>0</v>
      </c>
      <c r="M462" s="193"/>
      <c r="N462" s="561">
        <f t="shared" si="23"/>
        <v>0</v>
      </c>
    </row>
    <row r="463" spans="2:14" hidden="1">
      <c r="B463" s="745">
        <v>451</v>
      </c>
      <c r="C463" s="759"/>
      <c r="D463" s="760"/>
      <c r="E463" s="761"/>
      <c r="F463" s="762"/>
      <c r="G463" s="193"/>
      <c r="H463" s="555">
        <f>IF(Consolidado_A!$G$133&gt;=7.6%,-(0.0165+0.076)*F463,0)</f>
        <v>0</v>
      </c>
      <c r="I463" s="193"/>
      <c r="J463" s="561">
        <f t="shared" si="21"/>
        <v>0</v>
      </c>
      <c r="K463" s="193"/>
      <c r="L463" s="561">
        <f t="shared" si="22"/>
        <v>0</v>
      </c>
      <c r="M463" s="193"/>
      <c r="N463" s="561">
        <f t="shared" si="23"/>
        <v>0</v>
      </c>
    </row>
    <row r="464" spans="2:14" hidden="1">
      <c r="B464" s="745">
        <v>452</v>
      </c>
      <c r="C464" s="759"/>
      <c r="D464" s="760"/>
      <c r="E464" s="761"/>
      <c r="F464" s="762"/>
      <c r="G464" s="193"/>
      <c r="H464" s="555">
        <f>IF(Consolidado_A!$G$133&gt;=7.6%,-(0.0165+0.076)*F464,0)</f>
        <v>0</v>
      </c>
      <c r="I464" s="193"/>
      <c r="J464" s="561">
        <f t="shared" si="21"/>
        <v>0</v>
      </c>
      <c r="K464" s="193"/>
      <c r="L464" s="561">
        <f t="shared" si="22"/>
        <v>0</v>
      </c>
      <c r="M464" s="193"/>
      <c r="N464" s="561">
        <f t="shared" si="23"/>
        <v>0</v>
      </c>
    </row>
    <row r="465" spans="2:14" hidden="1">
      <c r="B465" s="745">
        <v>453</v>
      </c>
      <c r="C465" s="759"/>
      <c r="D465" s="760"/>
      <c r="E465" s="761"/>
      <c r="F465" s="762"/>
      <c r="G465" s="193"/>
      <c r="H465" s="555">
        <f>IF(Consolidado_A!$G$133&gt;=7.6%,-(0.0165+0.076)*F465,0)</f>
        <v>0</v>
      </c>
      <c r="I465" s="193"/>
      <c r="J465" s="561">
        <f t="shared" si="21"/>
        <v>0</v>
      </c>
      <c r="K465" s="193"/>
      <c r="L465" s="561">
        <f t="shared" si="22"/>
        <v>0</v>
      </c>
      <c r="M465" s="193"/>
      <c r="N465" s="561">
        <f t="shared" si="23"/>
        <v>0</v>
      </c>
    </row>
    <row r="466" spans="2:14" hidden="1">
      <c r="B466" s="745">
        <v>454</v>
      </c>
      <c r="C466" s="759"/>
      <c r="D466" s="760"/>
      <c r="E466" s="761"/>
      <c r="F466" s="762"/>
      <c r="G466" s="193"/>
      <c r="H466" s="555">
        <f>IF(Consolidado_A!$G$133&gt;=7.6%,-(0.0165+0.076)*F466,0)</f>
        <v>0</v>
      </c>
      <c r="I466" s="193"/>
      <c r="J466" s="561">
        <f t="shared" si="21"/>
        <v>0</v>
      </c>
      <c r="K466" s="193"/>
      <c r="L466" s="561">
        <f t="shared" si="22"/>
        <v>0</v>
      </c>
      <c r="M466" s="193"/>
      <c r="N466" s="561">
        <f t="shared" si="23"/>
        <v>0</v>
      </c>
    </row>
    <row r="467" spans="2:14" hidden="1">
      <c r="B467" s="745">
        <v>455</v>
      </c>
      <c r="C467" s="759"/>
      <c r="D467" s="760"/>
      <c r="E467" s="761"/>
      <c r="F467" s="762"/>
      <c r="G467" s="193"/>
      <c r="H467" s="555">
        <f>IF(Consolidado_A!$G$133&gt;=7.6%,-(0.0165+0.076)*F467,0)</f>
        <v>0</v>
      </c>
      <c r="I467" s="193"/>
      <c r="J467" s="561">
        <f t="shared" si="21"/>
        <v>0</v>
      </c>
      <c r="K467" s="193"/>
      <c r="L467" s="561">
        <f t="shared" si="22"/>
        <v>0</v>
      </c>
      <c r="M467" s="193"/>
      <c r="N467" s="561">
        <f t="shared" si="23"/>
        <v>0</v>
      </c>
    </row>
    <row r="468" spans="2:14" hidden="1">
      <c r="B468" s="745">
        <v>456</v>
      </c>
      <c r="C468" s="759"/>
      <c r="D468" s="760"/>
      <c r="E468" s="761"/>
      <c r="F468" s="762"/>
      <c r="G468" s="193"/>
      <c r="H468" s="555">
        <f>IF(Consolidado_A!$G$133&gt;=7.6%,-(0.0165+0.076)*F468,0)</f>
        <v>0</v>
      </c>
      <c r="I468" s="193"/>
      <c r="J468" s="561">
        <f t="shared" si="21"/>
        <v>0</v>
      </c>
      <c r="K468" s="193"/>
      <c r="L468" s="561">
        <f t="shared" si="22"/>
        <v>0</v>
      </c>
      <c r="M468" s="193"/>
      <c r="N468" s="561">
        <f t="shared" si="23"/>
        <v>0</v>
      </c>
    </row>
    <row r="469" spans="2:14" hidden="1">
      <c r="B469" s="745">
        <v>457</v>
      </c>
      <c r="C469" s="759"/>
      <c r="D469" s="760"/>
      <c r="E469" s="761"/>
      <c r="F469" s="762"/>
      <c r="G469" s="193"/>
      <c r="H469" s="555">
        <f>IF(Consolidado_A!$G$133&gt;=7.6%,-(0.0165+0.076)*F469,0)</f>
        <v>0</v>
      </c>
      <c r="I469" s="193"/>
      <c r="J469" s="561">
        <f t="shared" si="21"/>
        <v>0</v>
      </c>
      <c r="K469" s="193"/>
      <c r="L469" s="561">
        <f t="shared" si="22"/>
        <v>0</v>
      </c>
      <c r="M469" s="193"/>
      <c r="N469" s="561">
        <f t="shared" si="23"/>
        <v>0</v>
      </c>
    </row>
    <row r="470" spans="2:14" hidden="1">
      <c r="B470" s="745">
        <v>458</v>
      </c>
      <c r="C470" s="759"/>
      <c r="D470" s="760"/>
      <c r="E470" s="761"/>
      <c r="F470" s="762"/>
      <c r="G470" s="193"/>
      <c r="H470" s="555">
        <f>IF(Consolidado_A!$G$133&gt;=7.6%,-(0.0165+0.076)*F470,0)</f>
        <v>0</v>
      </c>
      <c r="I470" s="193"/>
      <c r="J470" s="561">
        <f t="shared" si="21"/>
        <v>0</v>
      </c>
      <c r="K470" s="193"/>
      <c r="L470" s="561">
        <f t="shared" si="22"/>
        <v>0</v>
      </c>
      <c r="M470" s="193"/>
      <c r="N470" s="561">
        <f t="shared" si="23"/>
        <v>0</v>
      </c>
    </row>
    <row r="471" spans="2:14" hidden="1">
      <c r="B471" s="745">
        <v>459</v>
      </c>
      <c r="C471" s="759"/>
      <c r="D471" s="760"/>
      <c r="E471" s="761"/>
      <c r="F471" s="762"/>
      <c r="G471" s="193"/>
      <c r="H471" s="555">
        <f>IF(Consolidado_A!$G$133&gt;=7.6%,-(0.0165+0.076)*F471,0)</f>
        <v>0</v>
      </c>
      <c r="I471" s="193"/>
      <c r="J471" s="561">
        <f t="shared" si="21"/>
        <v>0</v>
      </c>
      <c r="K471" s="193"/>
      <c r="L471" s="561">
        <f t="shared" si="22"/>
        <v>0</v>
      </c>
      <c r="M471" s="193"/>
      <c r="N471" s="561">
        <f t="shared" si="23"/>
        <v>0</v>
      </c>
    </row>
    <row r="472" spans="2:14" hidden="1">
      <c r="B472" s="745">
        <v>460</v>
      </c>
      <c r="C472" s="759"/>
      <c r="D472" s="760"/>
      <c r="E472" s="761"/>
      <c r="F472" s="762"/>
      <c r="G472" s="193"/>
      <c r="H472" s="555">
        <f>IF(Consolidado_A!$G$133&gt;=7.6%,-(0.0165+0.076)*F472,0)</f>
        <v>0</v>
      </c>
      <c r="I472" s="193"/>
      <c r="J472" s="561">
        <f t="shared" si="21"/>
        <v>0</v>
      </c>
      <c r="K472" s="193"/>
      <c r="L472" s="561">
        <f t="shared" si="22"/>
        <v>0</v>
      </c>
      <c r="M472" s="193"/>
      <c r="N472" s="561">
        <f t="shared" si="23"/>
        <v>0</v>
      </c>
    </row>
    <row r="473" spans="2:14" hidden="1">
      <c r="B473" s="745">
        <v>461</v>
      </c>
      <c r="C473" s="759"/>
      <c r="D473" s="760"/>
      <c r="E473" s="761"/>
      <c r="F473" s="762"/>
      <c r="G473" s="193"/>
      <c r="H473" s="555">
        <f>IF(Consolidado_A!$G$133&gt;=7.6%,-(0.0165+0.076)*F473,0)</f>
        <v>0</v>
      </c>
      <c r="I473" s="193"/>
      <c r="J473" s="561">
        <f t="shared" si="21"/>
        <v>0</v>
      </c>
      <c r="K473" s="193"/>
      <c r="L473" s="561">
        <f t="shared" si="22"/>
        <v>0</v>
      </c>
      <c r="M473" s="193"/>
      <c r="N473" s="561">
        <f t="shared" si="23"/>
        <v>0</v>
      </c>
    </row>
    <row r="474" spans="2:14" hidden="1">
      <c r="B474" s="745">
        <v>462</v>
      </c>
      <c r="C474" s="759"/>
      <c r="D474" s="760"/>
      <c r="E474" s="761"/>
      <c r="F474" s="762"/>
      <c r="G474" s="193"/>
      <c r="H474" s="555">
        <f>IF(Consolidado_A!$G$133&gt;=7.6%,-(0.0165+0.076)*F474,0)</f>
        <v>0</v>
      </c>
      <c r="I474" s="193"/>
      <c r="J474" s="561">
        <f t="shared" si="21"/>
        <v>0</v>
      </c>
      <c r="K474" s="193"/>
      <c r="L474" s="561">
        <f t="shared" si="22"/>
        <v>0</v>
      </c>
      <c r="M474" s="193"/>
      <c r="N474" s="561">
        <f t="shared" si="23"/>
        <v>0</v>
      </c>
    </row>
    <row r="475" spans="2:14" hidden="1">
      <c r="B475" s="745">
        <v>463</v>
      </c>
      <c r="C475" s="759"/>
      <c r="D475" s="760"/>
      <c r="E475" s="761"/>
      <c r="F475" s="762"/>
      <c r="G475" s="193"/>
      <c r="H475" s="555">
        <f>IF(Consolidado_A!$G$133&gt;=7.6%,-(0.0165+0.076)*F475,0)</f>
        <v>0</v>
      </c>
      <c r="I475" s="193"/>
      <c r="J475" s="561">
        <f t="shared" si="21"/>
        <v>0</v>
      </c>
      <c r="K475" s="193"/>
      <c r="L475" s="561">
        <f t="shared" si="22"/>
        <v>0</v>
      </c>
      <c r="M475" s="193"/>
      <c r="N475" s="561">
        <f t="shared" si="23"/>
        <v>0</v>
      </c>
    </row>
    <row r="476" spans="2:14" hidden="1">
      <c r="B476" s="745">
        <v>464</v>
      </c>
      <c r="C476" s="759"/>
      <c r="D476" s="760"/>
      <c r="E476" s="761"/>
      <c r="F476" s="762"/>
      <c r="G476" s="193"/>
      <c r="H476" s="555">
        <f>IF(Consolidado_A!$G$133&gt;=7.6%,-(0.0165+0.076)*F476,0)</f>
        <v>0</v>
      </c>
      <c r="I476" s="193"/>
      <c r="J476" s="561">
        <f t="shared" si="21"/>
        <v>0</v>
      </c>
      <c r="K476" s="193"/>
      <c r="L476" s="561">
        <f t="shared" si="22"/>
        <v>0</v>
      </c>
      <c r="M476" s="193"/>
      <c r="N476" s="561">
        <f t="shared" si="23"/>
        <v>0</v>
      </c>
    </row>
    <row r="477" spans="2:14" hidden="1">
      <c r="B477" s="745">
        <v>465</v>
      </c>
      <c r="C477" s="759"/>
      <c r="D477" s="760"/>
      <c r="E477" s="761"/>
      <c r="F477" s="762"/>
      <c r="G477" s="193"/>
      <c r="H477" s="555">
        <f>IF(Consolidado_A!$G$133&gt;=7.6%,-(0.0165+0.076)*F477,0)</f>
        <v>0</v>
      </c>
      <c r="I477" s="193"/>
      <c r="J477" s="561">
        <f t="shared" si="21"/>
        <v>0</v>
      </c>
      <c r="K477" s="193"/>
      <c r="L477" s="561">
        <f t="shared" si="22"/>
        <v>0</v>
      </c>
      <c r="M477" s="193"/>
      <c r="N477" s="561">
        <f t="shared" si="23"/>
        <v>0</v>
      </c>
    </row>
    <row r="478" spans="2:14" hidden="1">
      <c r="B478" s="745">
        <v>466</v>
      </c>
      <c r="C478" s="759"/>
      <c r="D478" s="760"/>
      <c r="E478" s="761"/>
      <c r="F478" s="762"/>
      <c r="G478" s="193"/>
      <c r="H478" s="555">
        <f>IF(Consolidado_A!$G$133&gt;=7.6%,-(0.0165+0.076)*F478,0)</f>
        <v>0</v>
      </c>
      <c r="I478" s="193"/>
      <c r="J478" s="561">
        <f t="shared" si="21"/>
        <v>0</v>
      </c>
      <c r="K478" s="193"/>
      <c r="L478" s="561">
        <f t="shared" si="22"/>
        <v>0</v>
      </c>
      <c r="M478" s="193"/>
      <c r="N478" s="561">
        <f t="shared" si="23"/>
        <v>0</v>
      </c>
    </row>
    <row r="479" spans="2:14" hidden="1">
      <c r="B479" s="745">
        <v>467</v>
      </c>
      <c r="C479" s="759"/>
      <c r="D479" s="760"/>
      <c r="E479" s="761"/>
      <c r="F479" s="762"/>
      <c r="G479" s="193"/>
      <c r="H479" s="555">
        <f>IF(Consolidado_A!$G$133&gt;=7.6%,-(0.0165+0.076)*F479,0)</f>
        <v>0</v>
      </c>
      <c r="I479" s="193"/>
      <c r="J479" s="561">
        <f t="shared" si="21"/>
        <v>0</v>
      </c>
      <c r="K479" s="193"/>
      <c r="L479" s="561">
        <f t="shared" si="22"/>
        <v>0</v>
      </c>
      <c r="M479" s="193"/>
      <c r="N479" s="561">
        <f t="shared" si="23"/>
        <v>0</v>
      </c>
    </row>
    <row r="480" spans="2:14" hidden="1">
      <c r="B480" s="745">
        <v>468</v>
      </c>
      <c r="C480" s="759"/>
      <c r="D480" s="760"/>
      <c r="E480" s="761"/>
      <c r="F480" s="762"/>
      <c r="G480" s="193"/>
      <c r="H480" s="555">
        <f>IF(Consolidado_A!$G$133&gt;=7.6%,-(0.0165+0.076)*F480,0)</f>
        <v>0</v>
      </c>
      <c r="I480" s="193"/>
      <c r="J480" s="561">
        <f t="shared" si="21"/>
        <v>0</v>
      </c>
      <c r="K480" s="193"/>
      <c r="L480" s="561">
        <f t="shared" si="22"/>
        <v>0</v>
      </c>
      <c r="M480" s="193"/>
      <c r="N480" s="561">
        <f t="shared" si="23"/>
        <v>0</v>
      </c>
    </row>
    <row r="481" spans="2:14" hidden="1">
      <c r="B481" s="745">
        <v>469</v>
      </c>
      <c r="C481" s="759"/>
      <c r="D481" s="760"/>
      <c r="E481" s="761"/>
      <c r="F481" s="762"/>
      <c r="G481" s="193"/>
      <c r="H481" s="555">
        <f>IF(Consolidado_A!$G$133&gt;=7.6%,-(0.0165+0.076)*F481,0)</f>
        <v>0</v>
      </c>
      <c r="I481" s="193"/>
      <c r="J481" s="561">
        <f t="shared" si="21"/>
        <v>0</v>
      </c>
      <c r="K481" s="193"/>
      <c r="L481" s="561">
        <f t="shared" si="22"/>
        <v>0</v>
      </c>
      <c r="M481" s="193"/>
      <c r="N481" s="561">
        <f t="shared" si="23"/>
        <v>0</v>
      </c>
    </row>
    <row r="482" spans="2:14" hidden="1">
      <c r="B482" s="745">
        <v>470</v>
      </c>
      <c r="C482" s="759"/>
      <c r="D482" s="760"/>
      <c r="E482" s="761"/>
      <c r="F482" s="762"/>
      <c r="G482" s="193"/>
      <c r="H482" s="555">
        <f>IF(Consolidado_A!$G$133&gt;=7.6%,-(0.0165+0.076)*F482,0)</f>
        <v>0</v>
      </c>
      <c r="I482" s="193"/>
      <c r="J482" s="561">
        <f t="shared" si="21"/>
        <v>0</v>
      </c>
      <c r="K482" s="193"/>
      <c r="L482" s="561">
        <f t="shared" si="22"/>
        <v>0</v>
      </c>
      <c r="M482" s="193"/>
      <c r="N482" s="561">
        <f t="shared" si="23"/>
        <v>0</v>
      </c>
    </row>
    <row r="483" spans="2:14" hidden="1">
      <c r="B483" s="745">
        <v>471</v>
      </c>
      <c r="C483" s="759"/>
      <c r="D483" s="760"/>
      <c r="E483" s="761"/>
      <c r="F483" s="762"/>
      <c r="G483" s="193"/>
      <c r="H483" s="555">
        <f>IF(Consolidado_A!$G$133&gt;=7.6%,-(0.0165+0.076)*F483,0)</f>
        <v>0</v>
      </c>
      <c r="I483" s="193"/>
      <c r="J483" s="561">
        <f t="shared" si="21"/>
        <v>0</v>
      </c>
      <c r="K483" s="193"/>
      <c r="L483" s="561">
        <f t="shared" si="22"/>
        <v>0</v>
      </c>
      <c r="M483" s="193"/>
      <c r="N483" s="561">
        <f t="shared" si="23"/>
        <v>0</v>
      </c>
    </row>
    <row r="484" spans="2:14" hidden="1">
      <c r="B484" s="745">
        <v>472</v>
      </c>
      <c r="C484" s="759"/>
      <c r="D484" s="760"/>
      <c r="E484" s="761"/>
      <c r="F484" s="762"/>
      <c r="G484" s="193"/>
      <c r="H484" s="555">
        <f>IF(Consolidado_A!$G$133&gt;=7.6%,-(0.0165+0.076)*F484,0)</f>
        <v>0</v>
      </c>
      <c r="I484" s="193"/>
      <c r="J484" s="561">
        <f t="shared" si="21"/>
        <v>0</v>
      </c>
      <c r="K484" s="193"/>
      <c r="L484" s="561">
        <f t="shared" si="22"/>
        <v>0</v>
      </c>
      <c r="M484" s="193"/>
      <c r="N484" s="561">
        <f t="shared" si="23"/>
        <v>0</v>
      </c>
    </row>
    <row r="485" spans="2:14" hidden="1">
      <c r="B485" s="745">
        <v>473</v>
      </c>
      <c r="C485" s="759"/>
      <c r="D485" s="760"/>
      <c r="E485" s="761"/>
      <c r="F485" s="762"/>
      <c r="G485" s="193"/>
      <c r="H485" s="555">
        <f>IF(Consolidado_A!$G$133&gt;=7.6%,-(0.0165+0.076)*F485,0)</f>
        <v>0</v>
      </c>
      <c r="I485" s="193"/>
      <c r="J485" s="561">
        <f t="shared" si="21"/>
        <v>0</v>
      </c>
      <c r="K485" s="193"/>
      <c r="L485" s="561">
        <f t="shared" si="22"/>
        <v>0</v>
      </c>
      <c r="M485" s="193"/>
      <c r="N485" s="561">
        <f t="shared" si="23"/>
        <v>0</v>
      </c>
    </row>
    <row r="486" spans="2:14" hidden="1">
      <c r="B486" s="745">
        <v>474</v>
      </c>
      <c r="C486" s="759"/>
      <c r="D486" s="760"/>
      <c r="E486" s="761"/>
      <c r="F486" s="762"/>
      <c r="G486" s="193"/>
      <c r="H486" s="555">
        <f>IF(Consolidado_A!$G$133&gt;=7.6%,-(0.0165+0.076)*F486,0)</f>
        <v>0</v>
      </c>
      <c r="I486" s="193"/>
      <c r="J486" s="561">
        <f t="shared" si="21"/>
        <v>0</v>
      </c>
      <c r="K486" s="193"/>
      <c r="L486" s="561">
        <f t="shared" si="22"/>
        <v>0</v>
      </c>
      <c r="M486" s="193"/>
      <c r="N486" s="561">
        <f t="shared" si="23"/>
        <v>0</v>
      </c>
    </row>
    <row r="487" spans="2:14" hidden="1">
      <c r="B487" s="745">
        <v>475</v>
      </c>
      <c r="C487" s="759"/>
      <c r="D487" s="760"/>
      <c r="E487" s="761"/>
      <c r="F487" s="762"/>
      <c r="G487" s="193"/>
      <c r="H487" s="555">
        <f>IF(Consolidado_A!$G$133&gt;=7.6%,-(0.0165+0.076)*F487,0)</f>
        <v>0</v>
      </c>
      <c r="I487" s="193"/>
      <c r="J487" s="561">
        <f t="shared" si="21"/>
        <v>0</v>
      </c>
      <c r="K487" s="193"/>
      <c r="L487" s="561">
        <f t="shared" si="22"/>
        <v>0</v>
      </c>
      <c r="M487" s="193"/>
      <c r="N487" s="561">
        <f t="shared" si="23"/>
        <v>0</v>
      </c>
    </row>
    <row r="488" spans="2:14" hidden="1">
      <c r="B488" s="745">
        <v>476</v>
      </c>
      <c r="C488" s="759"/>
      <c r="D488" s="760"/>
      <c r="E488" s="761"/>
      <c r="F488" s="762"/>
      <c r="G488" s="193"/>
      <c r="H488" s="555">
        <f>IF(Consolidado_A!$G$133&gt;=7.6%,-(0.0165+0.076)*F488,0)</f>
        <v>0</v>
      </c>
      <c r="I488" s="193"/>
      <c r="J488" s="561">
        <f t="shared" si="21"/>
        <v>0</v>
      </c>
      <c r="K488" s="193"/>
      <c r="L488" s="561">
        <f t="shared" si="22"/>
        <v>0</v>
      </c>
      <c r="M488" s="193"/>
      <c r="N488" s="561">
        <f t="shared" si="23"/>
        <v>0</v>
      </c>
    </row>
    <row r="489" spans="2:14" hidden="1">
      <c r="B489" s="745">
        <v>477</v>
      </c>
      <c r="C489" s="759"/>
      <c r="D489" s="760"/>
      <c r="E489" s="761"/>
      <c r="F489" s="762"/>
      <c r="G489" s="193"/>
      <c r="H489" s="555">
        <f>IF(Consolidado_A!$G$133&gt;=7.6%,-(0.0165+0.076)*F489,0)</f>
        <v>0</v>
      </c>
      <c r="I489" s="193"/>
      <c r="J489" s="561">
        <f t="shared" si="21"/>
        <v>0</v>
      </c>
      <c r="K489" s="193"/>
      <c r="L489" s="561">
        <f t="shared" si="22"/>
        <v>0</v>
      </c>
      <c r="M489" s="193"/>
      <c r="N489" s="561">
        <f t="shared" si="23"/>
        <v>0</v>
      </c>
    </row>
    <row r="490" spans="2:14" hidden="1">
      <c r="B490" s="745">
        <v>478</v>
      </c>
      <c r="C490" s="759"/>
      <c r="D490" s="760"/>
      <c r="E490" s="761"/>
      <c r="F490" s="762"/>
      <c r="G490" s="193"/>
      <c r="H490" s="555">
        <f>IF(Consolidado_A!$G$133&gt;=7.6%,-(0.0165+0.076)*F490,0)</f>
        <v>0</v>
      </c>
      <c r="I490" s="193"/>
      <c r="J490" s="561">
        <f t="shared" si="21"/>
        <v>0</v>
      </c>
      <c r="K490" s="193"/>
      <c r="L490" s="561">
        <f t="shared" si="22"/>
        <v>0</v>
      </c>
      <c r="M490" s="193"/>
      <c r="N490" s="561">
        <f t="shared" si="23"/>
        <v>0</v>
      </c>
    </row>
    <row r="491" spans="2:14" hidden="1">
      <c r="B491" s="745">
        <v>479</v>
      </c>
      <c r="C491" s="759"/>
      <c r="D491" s="760"/>
      <c r="E491" s="761"/>
      <c r="F491" s="762"/>
      <c r="G491" s="193"/>
      <c r="H491" s="555">
        <f>IF(Consolidado_A!$G$133&gt;=7.6%,-(0.0165+0.076)*F491,0)</f>
        <v>0</v>
      </c>
      <c r="I491" s="193"/>
      <c r="J491" s="561">
        <f t="shared" si="21"/>
        <v>0</v>
      </c>
      <c r="K491" s="193"/>
      <c r="L491" s="561">
        <f t="shared" si="22"/>
        <v>0</v>
      </c>
      <c r="M491" s="193"/>
      <c r="N491" s="561">
        <f t="shared" si="23"/>
        <v>0</v>
      </c>
    </row>
    <row r="492" spans="2:14" hidden="1">
      <c r="B492" s="745">
        <v>480</v>
      </c>
      <c r="C492" s="759"/>
      <c r="D492" s="760"/>
      <c r="E492" s="761"/>
      <c r="F492" s="762"/>
      <c r="G492" s="193"/>
      <c r="H492" s="555">
        <f>IF(Consolidado_A!$G$133&gt;=7.6%,-(0.0165+0.076)*F492,0)</f>
        <v>0</v>
      </c>
      <c r="I492" s="193"/>
      <c r="J492" s="561">
        <f t="shared" si="21"/>
        <v>0</v>
      </c>
      <c r="K492" s="193"/>
      <c r="L492" s="561">
        <f t="shared" si="22"/>
        <v>0</v>
      </c>
      <c r="M492" s="193"/>
      <c r="N492" s="561">
        <f t="shared" si="23"/>
        <v>0</v>
      </c>
    </row>
    <row r="493" spans="2:14" hidden="1">
      <c r="B493" s="745">
        <v>481</v>
      </c>
      <c r="C493" s="759"/>
      <c r="D493" s="760"/>
      <c r="E493" s="761"/>
      <c r="F493" s="762"/>
      <c r="G493" s="193"/>
      <c r="H493" s="555">
        <f>IF(Consolidado_A!$G$133&gt;=7.6%,-(0.0165+0.076)*F493,0)</f>
        <v>0</v>
      </c>
      <c r="I493" s="193"/>
      <c r="J493" s="561">
        <f t="shared" si="21"/>
        <v>0</v>
      </c>
      <c r="K493" s="193"/>
      <c r="L493" s="561">
        <f t="shared" si="22"/>
        <v>0</v>
      </c>
      <c r="M493" s="193"/>
      <c r="N493" s="561">
        <f t="shared" si="23"/>
        <v>0</v>
      </c>
    </row>
    <row r="494" spans="2:14" hidden="1">
      <c r="B494" s="745">
        <v>482</v>
      </c>
      <c r="C494" s="759"/>
      <c r="D494" s="760"/>
      <c r="E494" s="761"/>
      <c r="F494" s="762"/>
      <c r="G494" s="193"/>
      <c r="H494" s="555">
        <f>IF(Consolidado_A!$G$133&gt;=7.6%,-(0.0165+0.076)*F494,0)</f>
        <v>0</v>
      </c>
      <c r="I494" s="193"/>
      <c r="J494" s="561">
        <f t="shared" si="21"/>
        <v>0</v>
      </c>
      <c r="K494" s="193"/>
      <c r="L494" s="561">
        <f t="shared" si="22"/>
        <v>0</v>
      </c>
      <c r="M494" s="193"/>
      <c r="N494" s="561">
        <f t="shared" si="23"/>
        <v>0</v>
      </c>
    </row>
    <row r="495" spans="2:14" hidden="1">
      <c r="B495" s="745">
        <v>483</v>
      </c>
      <c r="C495" s="759"/>
      <c r="D495" s="760"/>
      <c r="E495" s="761"/>
      <c r="F495" s="762"/>
      <c r="G495" s="193"/>
      <c r="H495" s="555">
        <f>IF(Consolidado_A!$G$133&gt;=7.6%,-(0.0165+0.076)*F495,0)</f>
        <v>0</v>
      </c>
      <c r="I495" s="193"/>
      <c r="J495" s="561">
        <f t="shared" si="21"/>
        <v>0</v>
      </c>
      <c r="K495" s="193"/>
      <c r="L495" s="561">
        <f t="shared" si="22"/>
        <v>0</v>
      </c>
      <c r="M495" s="193"/>
      <c r="N495" s="561">
        <f t="shared" si="23"/>
        <v>0</v>
      </c>
    </row>
    <row r="496" spans="2:14" hidden="1">
      <c r="B496" s="745">
        <v>484</v>
      </c>
      <c r="C496" s="759"/>
      <c r="D496" s="760"/>
      <c r="E496" s="761"/>
      <c r="F496" s="762"/>
      <c r="G496" s="193"/>
      <c r="H496" s="555">
        <f>IF(Consolidado_A!$G$133&gt;=7.6%,-(0.0165+0.076)*F496,0)</f>
        <v>0</v>
      </c>
      <c r="I496" s="193"/>
      <c r="J496" s="561">
        <f t="shared" si="21"/>
        <v>0</v>
      </c>
      <c r="K496" s="193"/>
      <c r="L496" s="561">
        <f t="shared" si="22"/>
        <v>0</v>
      </c>
      <c r="M496" s="193"/>
      <c r="N496" s="561">
        <f t="shared" si="23"/>
        <v>0</v>
      </c>
    </row>
    <row r="497" spans="2:14" hidden="1">
      <c r="B497" s="745">
        <v>485</v>
      </c>
      <c r="C497" s="759"/>
      <c r="D497" s="760"/>
      <c r="E497" s="761"/>
      <c r="F497" s="762"/>
      <c r="G497" s="193"/>
      <c r="H497" s="555">
        <f>IF(Consolidado_A!$G$133&gt;=7.6%,-(0.0165+0.076)*F497,0)</f>
        <v>0</v>
      </c>
      <c r="I497" s="193"/>
      <c r="J497" s="561">
        <f t="shared" si="21"/>
        <v>0</v>
      </c>
      <c r="K497" s="193"/>
      <c r="L497" s="561">
        <f t="shared" si="22"/>
        <v>0</v>
      </c>
      <c r="M497" s="193"/>
      <c r="N497" s="561">
        <f t="shared" si="23"/>
        <v>0</v>
      </c>
    </row>
    <row r="498" spans="2:14" hidden="1">
      <c r="B498" s="745">
        <v>486</v>
      </c>
      <c r="C498" s="759"/>
      <c r="D498" s="760"/>
      <c r="E498" s="761"/>
      <c r="F498" s="762"/>
      <c r="G498" s="193"/>
      <c r="H498" s="555">
        <f>IF(Consolidado_A!$G$133&gt;=7.6%,-(0.0165+0.076)*F498,0)</f>
        <v>0</v>
      </c>
      <c r="I498" s="193"/>
      <c r="J498" s="561">
        <f t="shared" si="21"/>
        <v>0</v>
      </c>
      <c r="K498" s="193"/>
      <c r="L498" s="561">
        <f t="shared" si="22"/>
        <v>0</v>
      </c>
      <c r="M498" s="193"/>
      <c r="N498" s="561">
        <f t="shared" si="23"/>
        <v>0</v>
      </c>
    </row>
    <row r="499" spans="2:14" hidden="1">
      <c r="B499" s="745">
        <v>487</v>
      </c>
      <c r="C499" s="759"/>
      <c r="D499" s="760"/>
      <c r="E499" s="761"/>
      <c r="F499" s="762"/>
      <c r="G499" s="193"/>
      <c r="H499" s="555">
        <f>IF(Consolidado_A!$G$133&gt;=7.6%,-(0.0165+0.076)*F499,0)</f>
        <v>0</v>
      </c>
      <c r="I499" s="193"/>
      <c r="J499" s="561">
        <f t="shared" si="21"/>
        <v>0</v>
      </c>
      <c r="K499" s="193"/>
      <c r="L499" s="561">
        <f t="shared" si="22"/>
        <v>0</v>
      </c>
      <c r="M499" s="193"/>
      <c r="N499" s="561">
        <f t="shared" si="23"/>
        <v>0</v>
      </c>
    </row>
    <row r="500" spans="2:14" hidden="1">
      <c r="B500" s="745">
        <v>488</v>
      </c>
      <c r="C500" s="759"/>
      <c r="D500" s="760"/>
      <c r="E500" s="761"/>
      <c r="F500" s="762"/>
      <c r="G500" s="193"/>
      <c r="H500" s="555">
        <f>IF(Consolidado_A!$G$133&gt;=7.6%,-(0.0165+0.076)*F500,0)</f>
        <v>0</v>
      </c>
      <c r="I500" s="193"/>
      <c r="J500" s="561">
        <f t="shared" si="21"/>
        <v>0</v>
      </c>
      <c r="K500" s="193"/>
      <c r="L500" s="561">
        <f t="shared" si="22"/>
        <v>0</v>
      </c>
      <c r="M500" s="193"/>
      <c r="N500" s="561">
        <f t="shared" si="23"/>
        <v>0</v>
      </c>
    </row>
    <row r="501" spans="2:14" hidden="1">
      <c r="B501" s="745">
        <v>489</v>
      </c>
      <c r="C501" s="759"/>
      <c r="D501" s="760"/>
      <c r="E501" s="761"/>
      <c r="F501" s="762"/>
      <c r="G501" s="193"/>
      <c r="H501" s="555">
        <f>IF(Consolidado_A!$G$133&gt;=7.6%,-(0.0165+0.076)*F501,0)</f>
        <v>0</v>
      </c>
      <c r="I501" s="193"/>
      <c r="J501" s="561">
        <f t="shared" si="21"/>
        <v>0</v>
      </c>
      <c r="K501" s="193"/>
      <c r="L501" s="561">
        <f t="shared" si="22"/>
        <v>0</v>
      </c>
      <c r="M501" s="193"/>
      <c r="N501" s="561">
        <f t="shared" si="23"/>
        <v>0</v>
      </c>
    </row>
    <row r="502" spans="2:14" hidden="1">
      <c r="B502" s="745">
        <v>490</v>
      </c>
      <c r="C502" s="759"/>
      <c r="D502" s="760"/>
      <c r="E502" s="761"/>
      <c r="F502" s="762"/>
      <c r="G502" s="193"/>
      <c r="H502" s="555">
        <f>IF(Consolidado_A!$G$133&gt;=7.6%,-(0.0165+0.076)*F502,0)</f>
        <v>0</v>
      </c>
      <c r="I502" s="193"/>
      <c r="J502" s="561">
        <f t="shared" si="21"/>
        <v>0</v>
      </c>
      <c r="K502" s="193"/>
      <c r="L502" s="561">
        <f t="shared" si="22"/>
        <v>0</v>
      </c>
      <c r="M502" s="193"/>
      <c r="N502" s="561">
        <f t="shared" si="23"/>
        <v>0</v>
      </c>
    </row>
    <row r="503" spans="2:14" hidden="1">
      <c r="B503" s="745">
        <v>491</v>
      </c>
      <c r="C503" s="759"/>
      <c r="D503" s="760"/>
      <c r="E503" s="761"/>
      <c r="F503" s="762"/>
      <c r="G503" s="193"/>
      <c r="H503" s="555">
        <f>IF(Consolidado_A!$G$133&gt;=7.6%,-(0.0165+0.076)*F503,0)</f>
        <v>0</v>
      </c>
      <c r="I503" s="193"/>
      <c r="J503" s="561">
        <f t="shared" si="21"/>
        <v>0</v>
      </c>
      <c r="K503" s="193"/>
      <c r="L503" s="561">
        <f t="shared" si="22"/>
        <v>0</v>
      </c>
      <c r="M503" s="193"/>
      <c r="N503" s="561">
        <f t="shared" si="23"/>
        <v>0</v>
      </c>
    </row>
    <row r="504" spans="2:14" hidden="1">
      <c r="B504" s="745">
        <v>492</v>
      </c>
      <c r="C504" s="759"/>
      <c r="D504" s="760"/>
      <c r="E504" s="761"/>
      <c r="F504" s="762"/>
      <c r="G504" s="193"/>
      <c r="H504" s="555">
        <f>IF(Consolidado_A!$G$133&gt;=7.6%,-(0.0165+0.076)*F504,0)</f>
        <v>0</v>
      </c>
      <c r="I504" s="193"/>
      <c r="J504" s="561">
        <f t="shared" si="21"/>
        <v>0</v>
      </c>
      <c r="K504" s="193"/>
      <c r="L504" s="561">
        <f t="shared" si="22"/>
        <v>0</v>
      </c>
      <c r="M504" s="193"/>
      <c r="N504" s="561">
        <f t="shared" si="23"/>
        <v>0</v>
      </c>
    </row>
    <row r="505" spans="2:14" hidden="1">
      <c r="B505" s="745">
        <v>493</v>
      </c>
      <c r="C505" s="759"/>
      <c r="D505" s="760"/>
      <c r="E505" s="761"/>
      <c r="F505" s="762"/>
      <c r="G505" s="193"/>
      <c r="H505" s="555">
        <f>IF(Consolidado_A!$G$133&gt;=7.6%,-(0.0165+0.076)*F505,0)</f>
        <v>0</v>
      </c>
      <c r="I505" s="193"/>
      <c r="J505" s="561">
        <f t="shared" si="21"/>
        <v>0</v>
      </c>
      <c r="K505" s="193"/>
      <c r="L505" s="561">
        <f t="shared" si="22"/>
        <v>0</v>
      </c>
      <c r="M505" s="193"/>
      <c r="N505" s="561">
        <f t="shared" si="23"/>
        <v>0</v>
      </c>
    </row>
    <row r="506" spans="2:14" hidden="1">
      <c r="B506" s="745">
        <v>494</v>
      </c>
      <c r="C506" s="759"/>
      <c r="D506" s="760"/>
      <c r="E506" s="761"/>
      <c r="F506" s="762"/>
      <c r="G506" s="193"/>
      <c r="H506" s="555">
        <f>IF(Consolidado_A!$G$133&gt;=7.6%,-(0.0165+0.076)*F506,0)</f>
        <v>0</v>
      </c>
      <c r="I506" s="193"/>
      <c r="J506" s="561">
        <f t="shared" si="21"/>
        <v>0</v>
      </c>
      <c r="K506" s="193"/>
      <c r="L506" s="561">
        <f t="shared" si="22"/>
        <v>0</v>
      </c>
      <c r="M506" s="193"/>
      <c r="N506" s="561">
        <f t="shared" si="23"/>
        <v>0</v>
      </c>
    </row>
    <row r="507" spans="2:14" hidden="1">
      <c r="B507" s="745">
        <v>495</v>
      </c>
      <c r="C507" s="759"/>
      <c r="D507" s="760"/>
      <c r="E507" s="761"/>
      <c r="F507" s="762"/>
      <c r="G507" s="193"/>
      <c r="H507" s="555">
        <f>IF(Consolidado_A!$G$133&gt;=7.6%,-(0.0165+0.076)*F507,0)</f>
        <v>0</v>
      </c>
      <c r="I507" s="193"/>
      <c r="J507" s="561">
        <f t="shared" si="21"/>
        <v>0</v>
      </c>
      <c r="K507" s="193"/>
      <c r="L507" s="561">
        <f t="shared" si="22"/>
        <v>0</v>
      </c>
      <c r="M507" s="193"/>
      <c r="N507" s="561">
        <f t="shared" si="23"/>
        <v>0</v>
      </c>
    </row>
    <row r="508" spans="2:14" hidden="1">
      <c r="B508" s="745">
        <v>496</v>
      </c>
      <c r="C508" s="759"/>
      <c r="D508" s="760"/>
      <c r="E508" s="761"/>
      <c r="F508" s="762"/>
      <c r="G508" s="193"/>
      <c r="H508" s="555">
        <f>IF(Consolidado_A!$G$133&gt;=7.6%,-(0.0165+0.076)*F508,0)</f>
        <v>0</v>
      </c>
      <c r="I508" s="193"/>
      <c r="J508" s="561">
        <f t="shared" si="21"/>
        <v>0</v>
      </c>
      <c r="K508" s="193"/>
      <c r="L508" s="561">
        <f t="shared" si="22"/>
        <v>0</v>
      </c>
      <c r="M508" s="193"/>
      <c r="N508" s="561">
        <f t="shared" si="23"/>
        <v>0</v>
      </c>
    </row>
    <row r="509" spans="2:14" hidden="1">
      <c r="B509" s="745">
        <v>497</v>
      </c>
      <c r="C509" s="759"/>
      <c r="D509" s="760"/>
      <c r="E509" s="761"/>
      <c r="F509" s="762"/>
      <c r="G509" s="193"/>
      <c r="H509" s="555">
        <f>IF(Consolidado_A!$G$133&gt;=7.6%,-(0.0165+0.076)*F509,0)</f>
        <v>0</v>
      </c>
      <c r="I509" s="193"/>
      <c r="J509" s="561">
        <f t="shared" si="21"/>
        <v>0</v>
      </c>
      <c r="K509" s="193"/>
      <c r="L509" s="561">
        <f t="shared" si="22"/>
        <v>0</v>
      </c>
      <c r="M509" s="193"/>
      <c r="N509" s="561">
        <f t="shared" si="23"/>
        <v>0</v>
      </c>
    </row>
    <row r="510" spans="2:14" hidden="1">
      <c r="B510" s="745">
        <v>498</v>
      </c>
      <c r="C510" s="759"/>
      <c r="D510" s="760"/>
      <c r="E510" s="761"/>
      <c r="F510" s="762"/>
      <c r="G510" s="193"/>
      <c r="H510" s="555">
        <f>IF(Consolidado_A!$G$133&gt;=7.6%,-(0.0165+0.076)*F510,0)</f>
        <v>0</v>
      </c>
      <c r="I510" s="193"/>
      <c r="J510" s="561">
        <f t="shared" si="21"/>
        <v>0</v>
      </c>
      <c r="K510" s="193"/>
      <c r="L510" s="561">
        <f t="shared" si="22"/>
        <v>0</v>
      </c>
      <c r="M510" s="193"/>
      <c r="N510" s="561">
        <f t="shared" si="23"/>
        <v>0</v>
      </c>
    </row>
    <row r="511" spans="2:14" hidden="1">
      <c r="B511" s="745">
        <v>499</v>
      </c>
      <c r="C511" s="759"/>
      <c r="D511" s="760"/>
      <c r="E511" s="761"/>
      <c r="F511" s="762"/>
      <c r="G511" s="193"/>
      <c r="H511" s="555">
        <f>IF(Consolidado_A!$G$133&gt;=7.6%,-(0.0165+0.076)*F511,0)</f>
        <v>0</v>
      </c>
      <c r="I511" s="193"/>
      <c r="J511" s="561">
        <f t="shared" si="21"/>
        <v>0</v>
      </c>
      <c r="K511" s="193"/>
      <c r="L511" s="561">
        <f t="shared" si="22"/>
        <v>0</v>
      </c>
      <c r="M511" s="193"/>
      <c r="N511" s="561">
        <f t="shared" si="23"/>
        <v>0</v>
      </c>
    </row>
    <row r="512" spans="2:14" hidden="1">
      <c r="B512" s="745">
        <v>500</v>
      </c>
      <c r="C512" s="759"/>
      <c r="D512" s="760"/>
      <c r="E512" s="761"/>
      <c r="F512" s="762"/>
      <c r="G512" s="193"/>
      <c r="H512" s="555">
        <f>IF(Consolidado_A!$G$133&gt;=7.6%,-(0.0165+0.076)*F512,0)</f>
        <v>0</v>
      </c>
      <c r="I512" s="193"/>
      <c r="J512" s="561">
        <f t="shared" si="21"/>
        <v>0</v>
      </c>
      <c r="K512" s="193"/>
      <c r="L512" s="561">
        <f t="shared" si="22"/>
        <v>0</v>
      </c>
      <c r="M512" s="193"/>
      <c r="N512" s="561">
        <f t="shared" si="23"/>
        <v>0</v>
      </c>
    </row>
    <row r="513" spans="2:14" hidden="1">
      <c r="B513" s="745">
        <v>501</v>
      </c>
      <c r="C513" s="759"/>
      <c r="D513" s="760"/>
      <c r="E513" s="761"/>
      <c r="F513" s="762"/>
      <c r="G513" s="193"/>
      <c r="H513" s="555">
        <f>IF(Consolidado_A!$G$133&gt;=7.6%,-(0.0165+0.076)*F513,0)</f>
        <v>0</v>
      </c>
      <c r="I513" s="193"/>
      <c r="J513" s="561">
        <f t="shared" si="21"/>
        <v>0</v>
      </c>
      <c r="K513" s="193"/>
      <c r="L513" s="561">
        <f t="shared" si="22"/>
        <v>0</v>
      </c>
      <c r="M513" s="193"/>
      <c r="N513" s="561">
        <f t="shared" si="23"/>
        <v>0</v>
      </c>
    </row>
    <row r="514" spans="2:14" hidden="1">
      <c r="B514" s="745">
        <v>502</v>
      </c>
      <c r="C514" s="759"/>
      <c r="D514" s="760"/>
      <c r="E514" s="761"/>
      <c r="F514" s="762"/>
      <c r="G514" s="193"/>
      <c r="H514" s="555">
        <f>IF(Consolidado_A!$G$133&gt;=7.6%,-(0.0165+0.076)*F514,0)</f>
        <v>0</v>
      </c>
      <c r="I514" s="193"/>
      <c r="J514" s="561">
        <f t="shared" si="21"/>
        <v>0</v>
      </c>
      <c r="K514" s="193"/>
      <c r="L514" s="561">
        <f t="shared" si="22"/>
        <v>0</v>
      </c>
      <c r="M514" s="193"/>
      <c r="N514" s="561">
        <f t="shared" si="23"/>
        <v>0</v>
      </c>
    </row>
    <row r="515" spans="2:14" hidden="1">
      <c r="B515" s="745">
        <v>503</v>
      </c>
      <c r="C515" s="759"/>
      <c r="D515" s="760"/>
      <c r="E515" s="761"/>
      <c r="F515" s="762"/>
      <c r="G515" s="193"/>
      <c r="H515" s="555">
        <f>IF(Consolidado_A!$G$133&gt;=7.6%,-(0.0165+0.076)*F515,0)</f>
        <v>0</v>
      </c>
      <c r="I515" s="193"/>
      <c r="J515" s="561">
        <f t="shared" si="21"/>
        <v>0</v>
      </c>
      <c r="K515" s="193"/>
      <c r="L515" s="561">
        <f t="shared" si="22"/>
        <v>0</v>
      </c>
      <c r="M515" s="193"/>
      <c r="N515" s="561">
        <f t="shared" si="23"/>
        <v>0</v>
      </c>
    </row>
    <row r="516" spans="2:14" hidden="1">
      <c r="B516" s="745">
        <v>504</v>
      </c>
      <c r="C516" s="759"/>
      <c r="D516" s="760"/>
      <c r="E516" s="761"/>
      <c r="F516" s="762"/>
      <c r="G516" s="193"/>
      <c r="H516" s="555">
        <f>IF(Consolidado_A!$G$133&gt;=7.6%,-(0.0165+0.076)*F516,0)</f>
        <v>0</v>
      </c>
      <c r="I516" s="193"/>
      <c r="J516" s="561">
        <f t="shared" si="21"/>
        <v>0</v>
      </c>
      <c r="K516" s="193"/>
      <c r="L516" s="561">
        <f t="shared" si="22"/>
        <v>0</v>
      </c>
      <c r="M516" s="193"/>
      <c r="N516" s="561">
        <f t="shared" si="23"/>
        <v>0</v>
      </c>
    </row>
    <row r="517" spans="2:14" hidden="1">
      <c r="B517" s="745">
        <v>505</v>
      </c>
      <c r="C517" s="759"/>
      <c r="D517" s="760"/>
      <c r="E517" s="761"/>
      <c r="F517" s="762"/>
      <c r="G517" s="193"/>
      <c r="H517" s="555">
        <f>IF(Consolidado_A!$G$133&gt;=7.6%,-(0.0165+0.076)*F517,0)</f>
        <v>0</v>
      </c>
      <c r="I517" s="193"/>
      <c r="J517" s="561">
        <f t="shared" si="21"/>
        <v>0</v>
      </c>
      <c r="K517" s="193"/>
      <c r="L517" s="561">
        <f t="shared" si="22"/>
        <v>0</v>
      </c>
      <c r="M517" s="193"/>
      <c r="N517" s="561">
        <f t="shared" si="23"/>
        <v>0</v>
      </c>
    </row>
    <row r="518" spans="2:14" hidden="1">
      <c r="B518" s="745">
        <v>506</v>
      </c>
      <c r="C518" s="759"/>
      <c r="D518" s="760"/>
      <c r="E518" s="761"/>
      <c r="F518" s="762"/>
      <c r="G518" s="193"/>
      <c r="H518" s="555">
        <f>IF(Consolidado_A!$G$133&gt;=7.6%,-(0.0165+0.076)*F518,0)</f>
        <v>0</v>
      </c>
      <c r="I518" s="193"/>
      <c r="J518" s="561">
        <f t="shared" si="21"/>
        <v>0</v>
      </c>
      <c r="K518" s="193"/>
      <c r="L518" s="561">
        <f t="shared" si="22"/>
        <v>0</v>
      </c>
      <c r="M518" s="193"/>
      <c r="N518" s="561">
        <f t="shared" si="23"/>
        <v>0</v>
      </c>
    </row>
    <row r="519" spans="2:14" hidden="1">
      <c r="B519" s="745">
        <v>507</v>
      </c>
      <c r="C519" s="759"/>
      <c r="D519" s="760"/>
      <c r="E519" s="761"/>
      <c r="F519" s="762"/>
      <c r="G519" s="193"/>
      <c r="H519" s="555">
        <f>IF(Consolidado_A!$G$133&gt;=7.6%,-(0.0165+0.076)*F519,0)</f>
        <v>0</v>
      </c>
      <c r="I519" s="193"/>
      <c r="J519" s="561">
        <f t="shared" si="21"/>
        <v>0</v>
      </c>
      <c r="K519" s="193"/>
      <c r="L519" s="561">
        <f t="shared" si="22"/>
        <v>0</v>
      </c>
      <c r="M519" s="193"/>
      <c r="N519" s="561">
        <f t="shared" si="23"/>
        <v>0</v>
      </c>
    </row>
    <row r="520" spans="2:14" hidden="1">
      <c r="B520" s="745">
        <v>508</v>
      </c>
      <c r="C520" s="759"/>
      <c r="D520" s="760"/>
      <c r="E520" s="761"/>
      <c r="F520" s="762"/>
      <c r="G520" s="193"/>
      <c r="H520" s="555">
        <f>IF(Consolidado_A!$G$133&gt;=7.6%,-(0.0165+0.076)*F520,0)</f>
        <v>0</v>
      </c>
      <c r="I520" s="193"/>
      <c r="J520" s="561">
        <f t="shared" si="21"/>
        <v>0</v>
      </c>
      <c r="K520" s="193"/>
      <c r="L520" s="561">
        <f t="shared" si="22"/>
        <v>0</v>
      </c>
      <c r="M520" s="193"/>
      <c r="N520" s="561">
        <f t="shared" si="23"/>
        <v>0</v>
      </c>
    </row>
    <row r="521" spans="2:14" hidden="1">
      <c r="B521" s="745">
        <v>509</v>
      </c>
      <c r="C521" s="759"/>
      <c r="D521" s="760"/>
      <c r="E521" s="761"/>
      <c r="F521" s="762"/>
      <c r="G521" s="193"/>
      <c r="H521" s="555">
        <f>IF(Consolidado_A!$G$133&gt;=7.6%,-(0.0165+0.076)*F521,0)</f>
        <v>0</v>
      </c>
      <c r="I521" s="193"/>
      <c r="J521" s="561">
        <f t="shared" si="21"/>
        <v>0</v>
      </c>
      <c r="K521" s="193"/>
      <c r="L521" s="561">
        <f t="shared" si="22"/>
        <v>0</v>
      </c>
      <c r="M521" s="193"/>
      <c r="N521" s="561">
        <f t="shared" si="23"/>
        <v>0</v>
      </c>
    </row>
    <row r="522" spans="2:14" hidden="1">
      <c r="B522" s="745">
        <v>510</v>
      </c>
      <c r="C522" s="759"/>
      <c r="D522" s="760"/>
      <c r="E522" s="761"/>
      <c r="F522" s="762"/>
      <c r="G522" s="193"/>
      <c r="H522" s="555">
        <f>IF(Consolidado_A!$G$133&gt;=7.6%,-(0.0165+0.076)*F522,0)</f>
        <v>0</v>
      </c>
      <c r="I522" s="193"/>
      <c r="J522" s="561">
        <f t="shared" si="21"/>
        <v>0</v>
      </c>
      <c r="K522" s="193"/>
      <c r="L522" s="561">
        <f t="shared" si="22"/>
        <v>0</v>
      </c>
      <c r="M522" s="193"/>
      <c r="N522" s="561">
        <f t="shared" si="23"/>
        <v>0</v>
      </c>
    </row>
    <row r="523" spans="2:14" hidden="1">
      <c r="B523" s="745">
        <v>511</v>
      </c>
      <c r="C523" s="759"/>
      <c r="D523" s="760"/>
      <c r="E523" s="761"/>
      <c r="F523" s="762"/>
      <c r="G523" s="193"/>
      <c r="H523" s="555">
        <f>IF(Consolidado_A!$G$133&gt;=7.6%,-(0.0165+0.076)*F523,0)</f>
        <v>0</v>
      </c>
      <c r="I523" s="193"/>
      <c r="J523" s="561">
        <f t="shared" si="21"/>
        <v>0</v>
      </c>
      <c r="K523" s="193"/>
      <c r="L523" s="561">
        <f t="shared" si="22"/>
        <v>0</v>
      </c>
      <c r="M523" s="193"/>
      <c r="N523" s="561">
        <f t="shared" si="23"/>
        <v>0</v>
      </c>
    </row>
    <row r="524" spans="2:14" hidden="1">
      <c r="B524" s="745">
        <v>512</v>
      </c>
      <c r="C524" s="759"/>
      <c r="D524" s="760"/>
      <c r="E524" s="761"/>
      <c r="F524" s="762"/>
      <c r="G524" s="193"/>
      <c r="H524" s="555">
        <f>IF(Consolidado_A!$G$133&gt;=7.6%,-(0.0165+0.076)*F524,0)</f>
        <v>0</v>
      </c>
      <c r="I524" s="193"/>
      <c r="J524" s="561">
        <f t="shared" si="21"/>
        <v>0</v>
      </c>
      <c r="K524" s="193"/>
      <c r="L524" s="561">
        <f t="shared" si="22"/>
        <v>0</v>
      </c>
      <c r="M524" s="193"/>
      <c r="N524" s="561">
        <f t="shared" si="23"/>
        <v>0</v>
      </c>
    </row>
    <row r="525" spans="2:14" hidden="1">
      <c r="B525" s="745">
        <v>513</v>
      </c>
      <c r="C525" s="759"/>
      <c r="D525" s="760"/>
      <c r="E525" s="761"/>
      <c r="F525" s="762"/>
      <c r="G525" s="193"/>
      <c r="H525" s="555">
        <f>IF(Consolidado_A!$G$133&gt;=7.6%,-(0.0165+0.076)*F525,0)</f>
        <v>0</v>
      </c>
      <c r="I525" s="193"/>
      <c r="J525" s="561">
        <f t="shared" ref="J525:J588" si="24">F525+H525</f>
        <v>0</v>
      </c>
      <c r="K525" s="193"/>
      <c r="L525" s="561">
        <f t="shared" ref="L525:L588" si="25">J525*E525</f>
        <v>0</v>
      </c>
      <c r="M525" s="193"/>
      <c r="N525" s="561">
        <f t="shared" ref="N525:N588" si="26">L525*12</f>
        <v>0</v>
      </c>
    </row>
    <row r="526" spans="2:14" hidden="1">
      <c r="B526" s="745">
        <v>514</v>
      </c>
      <c r="C526" s="759"/>
      <c r="D526" s="760"/>
      <c r="E526" s="761"/>
      <c r="F526" s="762"/>
      <c r="G526" s="193"/>
      <c r="H526" s="555">
        <f>IF(Consolidado_A!$G$133&gt;=7.6%,-(0.0165+0.076)*F526,0)</f>
        <v>0</v>
      </c>
      <c r="I526" s="193"/>
      <c r="J526" s="561">
        <f t="shared" si="24"/>
        <v>0</v>
      </c>
      <c r="K526" s="193"/>
      <c r="L526" s="561">
        <f t="shared" si="25"/>
        <v>0</v>
      </c>
      <c r="M526" s="193"/>
      <c r="N526" s="561">
        <f t="shared" si="26"/>
        <v>0</v>
      </c>
    </row>
    <row r="527" spans="2:14" hidden="1">
      <c r="B527" s="745">
        <v>515</v>
      </c>
      <c r="C527" s="759"/>
      <c r="D527" s="760"/>
      <c r="E527" s="761"/>
      <c r="F527" s="762"/>
      <c r="G527" s="193"/>
      <c r="H527" s="555">
        <f>IF(Consolidado_A!$G$133&gt;=7.6%,-(0.0165+0.076)*F527,0)</f>
        <v>0</v>
      </c>
      <c r="I527" s="193"/>
      <c r="J527" s="561">
        <f t="shared" si="24"/>
        <v>0</v>
      </c>
      <c r="K527" s="193"/>
      <c r="L527" s="561">
        <f t="shared" si="25"/>
        <v>0</v>
      </c>
      <c r="M527" s="193"/>
      <c r="N527" s="561">
        <f t="shared" si="26"/>
        <v>0</v>
      </c>
    </row>
    <row r="528" spans="2:14" hidden="1">
      <c r="B528" s="745">
        <v>516</v>
      </c>
      <c r="C528" s="759"/>
      <c r="D528" s="760"/>
      <c r="E528" s="761"/>
      <c r="F528" s="762"/>
      <c r="G528" s="193"/>
      <c r="H528" s="555">
        <f>IF(Consolidado_A!$G$133&gt;=7.6%,-(0.0165+0.076)*F528,0)</f>
        <v>0</v>
      </c>
      <c r="I528" s="193"/>
      <c r="J528" s="561">
        <f t="shared" si="24"/>
        <v>0</v>
      </c>
      <c r="K528" s="193"/>
      <c r="L528" s="561">
        <f t="shared" si="25"/>
        <v>0</v>
      </c>
      <c r="M528" s="193"/>
      <c r="N528" s="561">
        <f t="shared" si="26"/>
        <v>0</v>
      </c>
    </row>
    <row r="529" spans="2:14" hidden="1">
      <c r="B529" s="745">
        <v>517</v>
      </c>
      <c r="C529" s="759"/>
      <c r="D529" s="760"/>
      <c r="E529" s="761"/>
      <c r="F529" s="762"/>
      <c r="G529" s="193"/>
      <c r="H529" s="555">
        <f>IF(Consolidado_A!$G$133&gt;=7.6%,-(0.0165+0.076)*F529,0)</f>
        <v>0</v>
      </c>
      <c r="I529" s="193"/>
      <c r="J529" s="561">
        <f t="shared" si="24"/>
        <v>0</v>
      </c>
      <c r="K529" s="193"/>
      <c r="L529" s="561">
        <f t="shared" si="25"/>
        <v>0</v>
      </c>
      <c r="M529" s="193"/>
      <c r="N529" s="561">
        <f t="shared" si="26"/>
        <v>0</v>
      </c>
    </row>
    <row r="530" spans="2:14" hidden="1">
      <c r="B530" s="745">
        <v>518</v>
      </c>
      <c r="C530" s="759"/>
      <c r="D530" s="760"/>
      <c r="E530" s="761"/>
      <c r="F530" s="762"/>
      <c r="G530" s="193"/>
      <c r="H530" s="555">
        <f>IF(Consolidado_A!$G$133&gt;=7.6%,-(0.0165+0.076)*F530,0)</f>
        <v>0</v>
      </c>
      <c r="I530" s="193"/>
      <c r="J530" s="561">
        <f t="shared" si="24"/>
        <v>0</v>
      </c>
      <c r="K530" s="193"/>
      <c r="L530" s="561">
        <f t="shared" si="25"/>
        <v>0</v>
      </c>
      <c r="M530" s="193"/>
      <c r="N530" s="561">
        <f t="shared" si="26"/>
        <v>0</v>
      </c>
    </row>
    <row r="531" spans="2:14" hidden="1">
      <c r="B531" s="745">
        <v>519</v>
      </c>
      <c r="C531" s="759"/>
      <c r="D531" s="760"/>
      <c r="E531" s="761"/>
      <c r="F531" s="762"/>
      <c r="G531" s="193"/>
      <c r="H531" s="555">
        <f>IF(Consolidado_A!$G$133&gt;=7.6%,-(0.0165+0.076)*F531,0)</f>
        <v>0</v>
      </c>
      <c r="I531" s="193"/>
      <c r="J531" s="561">
        <f t="shared" si="24"/>
        <v>0</v>
      </c>
      <c r="K531" s="193"/>
      <c r="L531" s="561">
        <f t="shared" si="25"/>
        <v>0</v>
      </c>
      <c r="M531" s="193"/>
      <c r="N531" s="561">
        <f t="shared" si="26"/>
        <v>0</v>
      </c>
    </row>
    <row r="532" spans="2:14" hidden="1">
      <c r="B532" s="745">
        <v>520</v>
      </c>
      <c r="C532" s="759"/>
      <c r="D532" s="760"/>
      <c r="E532" s="761"/>
      <c r="F532" s="762"/>
      <c r="G532" s="193"/>
      <c r="H532" s="555">
        <f>IF(Consolidado_A!$G$133&gt;=7.6%,-(0.0165+0.076)*F532,0)</f>
        <v>0</v>
      </c>
      <c r="I532" s="193"/>
      <c r="J532" s="561">
        <f t="shared" si="24"/>
        <v>0</v>
      </c>
      <c r="K532" s="193"/>
      <c r="L532" s="561">
        <f t="shared" si="25"/>
        <v>0</v>
      </c>
      <c r="M532" s="193"/>
      <c r="N532" s="561">
        <f t="shared" si="26"/>
        <v>0</v>
      </c>
    </row>
    <row r="533" spans="2:14" hidden="1">
      <c r="B533" s="745">
        <v>521</v>
      </c>
      <c r="C533" s="759"/>
      <c r="D533" s="760"/>
      <c r="E533" s="761"/>
      <c r="F533" s="762"/>
      <c r="G533" s="193"/>
      <c r="H533" s="555">
        <f>IF(Consolidado_A!$G$133&gt;=7.6%,-(0.0165+0.076)*F533,0)</f>
        <v>0</v>
      </c>
      <c r="I533" s="193"/>
      <c r="J533" s="561">
        <f t="shared" si="24"/>
        <v>0</v>
      </c>
      <c r="K533" s="193"/>
      <c r="L533" s="561">
        <f t="shared" si="25"/>
        <v>0</v>
      </c>
      <c r="M533" s="193"/>
      <c r="N533" s="561">
        <f t="shared" si="26"/>
        <v>0</v>
      </c>
    </row>
    <row r="534" spans="2:14" hidden="1">
      <c r="B534" s="745">
        <v>522</v>
      </c>
      <c r="C534" s="759"/>
      <c r="D534" s="760"/>
      <c r="E534" s="761"/>
      <c r="F534" s="762"/>
      <c r="G534" s="193"/>
      <c r="H534" s="555">
        <f>IF(Consolidado_A!$G$133&gt;=7.6%,-(0.0165+0.076)*F534,0)</f>
        <v>0</v>
      </c>
      <c r="I534" s="193"/>
      <c r="J534" s="561">
        <f t="shared" si="24"/>
        <v>0</v>
      </c>
      <c r="K534" s="193"/>
      <c r="L534" s="561">
        <f t="shared" si="25"/>
        <v>0</v>
      </c>
      <c r="M534" s="193"/>
      <c r="N534" s="561">
        <f t="shared" si="26"/>
        <v>0</v>
      </c>
    </row>
    <row r="535" spans="2:14" hidden="1">
      <c r="B535" s="745">
        <v>523</v>
      </c>
      <c r="C535" s="759"/>
      <c r="D535" s="760"/>
      <c r="E535" s="761"/>
      <c r="F535" s="762"/>
      <c r="G535" s="193"/>
      <c r="H535" s="555">
        <f>IF(Consolidado_A!$G$133&gt;=7.6%,-(0.0165+0.076)*F535,0)</f>
        <v>0</v>
      </c>
      <c r="I535" s="193"/>
      <c r="J535" s="561">
        <f t="shared" si="24"/>
        <v>0</v>
      </c>
      <c r="K535" s="193"/>
      <c r="L535" s="561">
        <f t="shared" si="25"/>
        <v>0</v>
      </c>
      <c r="M535" s="193"/>
      <c r="N535" s="561">
        <f t="shared" si="26"/>
        <v>0</v>
      </c>
    </row>
    <row r="536" spans="2:14" hidden="1">
      <c r="B536" s="745">
        <v>524</v>
      </c>
      <c r="C536" s="759"/>
      <c r="D536" s="760"/>
      <c r="E536" s="761"/>
      <c r="F536" s="762"/>
      <c r="G536" s="193"/>
      <c r="H536" s="555">
        <f>IF(Consolidado_A!$G$133&gt;=7.6%,-(0.0165+0.076)*F536,0)</f>
        <v>0</v>
      </c>
      <c r="I536" s="193"/>
      <c r="J536" s="561">
        <f t="shared" si="24"/>
        <v>0</v>
      </c>
      <c r="K536" s="193"/>
      <c r="L536" s="561">
        <f t="shared" si="25"/>
        <v>0</v>
      </c>
      <c r="M536" s="193"/>
      <c r="N536" s="561">
        <f t="shared" si="26"/>
        <v>0</v>
      </c>
    </row>
    <row r="537" spans="2:14" hidden="1">
      <c r="B537" s="745">
        <v>525</v>
      </c>
      <c r="C537" s="759"/>
      <c r="D537" s="760"/>
      <c r="E537" s="761"/>
      <c r="F537" s="762"/>
      <c r="G537" s="193"/>
      <c r="H537" s="555">
        <f>IF(Consolidado_A!$G$133&gt;=7.6%,-(0.0165+0.076)*F537,0)</f>
        <v>0</v>
      </c>
      <c r="I537" s="193"/>
      <c r="J537" s="561">
        <f t="shared" si="24"/>
        <v>0</v>
      </c>
      <c r="K537" s="193"/>
      <c r="L537" s="561">
        <f t="shared" si="25"/>
        <v>0</v>
      </c>
      <c r="M537" s="193"/>
      <c r="N537" s="561">
        <f t="shared" si="26"/>
        <v>0</v>
      </c>
    </row>
    <row r="538" spans="2:14" hidden="1">
      <c r="B538" s="745">
        <v>526</v>
      </c>
      <c r="C538" s="759"/>
      <c r="D538" s="760"/>
      <c r="E538" s="761"/>
      <c r="F538" s="762"/>
      <c r="G538" s="193"/>
      <c r="H538" s="555">
        <f>IF(Consolidado_A!$G$133&gt;=7.6%,-(0.0165+0.076)*F538,0)</f>
        <v>0</v>
      </c>
      <c r="I538" s="193"/>
      <c r="J538" s="561">
        <f t="shared" si="24"/>
        <v>0</v>
      </c>
      <c r="K538" s="193"/>
      <c r="L538" s="561">
        <f t="shared" si="25"/>
        <v>0</v>
      </c>
      <c r="M538" s="193"/>
      <c r="N538" s="561">
        <f t="shared" si="26"/>
        <v>0</v>
      </c>
    </row>
    <row r="539" spans="2:14" hidden="1">
      <c r="B539" s="745">
        <v>527</v>
      </c>
      <c r="C539" s="759"/>
      <c r="D539" s="760"/>
      <c r="E539" s="761"/>
      <c r="F539" s="762"/>
      <c r="G539" s="193"/>
      <c r="H539" s="555">
        <f>IF(Consolidado_A!$G$133&gt;=7.6%,-(0.0165+0.076)*F539,0)</f>
        <v>0</v>
      </c>
      <c r="I539" s="193"/>
      <c r="J539" s="561">
        <f t="shared" si="24"/>
        <v>0</v>
      </c>
      <c r="K539" s="193"/>
      <c r="L539" s="561">
        <f t="shared" si="25"/>
        <v>0</v>
      </c>
      <c r="M539" s="193"/>
      <c r="N539" s="561">
        <f t="shared" si="26"/>
        <v>0</v>
      </c>
    </row>
    <row r="540" spans="2:14" hidden="1">
      <c r="B540" s="745">
        <v>528</v>
      </c>
      <c r="C540" s="759"/>
      <c r="D540" s="760"/>
      <c r="E540" s="761"/>
      <c r="F540" s="762"/>
      <c r="G540" s="193"/>
      <c r="H540" s="555">
        <f>IF(Consolidado_A!$G$133&gt;=7.6%,-(0.0165+0.076)*F540,0)</f>
        <v>0</v>
      </c>
      <c r="I540" s="193"/>
      <c r="J540" s="561">
        <f t="shared" si="24"/>
        <v>0</v>
      </c>
      <c r="K540" s="193"/>
      <c r="L540" s="561">
        <f t="shared" si="25"/>
        <v>0</v>
      </c>
      <c r="M540" s="193"/>
      <c r="N540" s="561">
        <f t="shared" si="26"/>
        <v>0</v>
      </c>
    </row>
    <row r="541" spans="2:14" hidden="1">
      <c r="B541" s="745">
        <v>529</v>
      </c>
      <c r="C541" s="759"/>
      <c r="D541" s="760"/>
      <c r="E541" s="761"/>
      <c r="F541" s="762"/>
      <c r="G541" s="193"/>
      <c r="H541" s="555">
        <f>IF(Consolidado_A!$G$133&gt;=7.6%,-(0.0165+0.076)*F541,0)</f>
        <v>0</v>
      </c>
      <c r="I541" s="193"/>
      <c r="J541" s="561">
        <f t="shared" si="24"/>
        <v>0</v>
      </c>
      <c r="K541" s="193"/>
      <c r="L541" s="561">
        <f t="shared" si="25"/>
        <v>0</v>
      </c>
      <c r="M541" s="193"/>
      <c r="N541" s="561">
        <f t="shared" si="26"/>
        <v>0</v>
      </c>
    </row>
    <row r="542" spans="2:14" hidden="1">
      <c r="B542" s="745">
        <v>530</v>
      </c>
      <c r="C542" s="759"/>
      <c r="D542" s="760"/>
      <c r="E542" s="761"/>
      <c r="F542" s="762"/>
      <c r="G542" s="193"/>
      <c r="H542" s="555">
        <f>IF(Consolidado_A!$G$133&gt;=7.6%,-(0.0165+0.076)*F542,0)</f>
        <v>0</v>
      </c>
      <c r="I542" s="193"/>
      <c r="J542" s="561">
        <f t="shared" si="24"/>
        <v>0</v>
      </c>
      <c r="K542" s="193"/>
      <c r="L542" s="561">
        <f t="shared" si="25"/>
        <v>0</v>
      </c>
      <c r="M542" s="193"/>
      <c r="N542" s="561">
        <f t="shared" si="26"/>
        <v>0</v>
      </c>
    </row>
    <row r="543" spans="2:14" hidden="1">
      <c r="B543" s="745">
        <v>531</v>
      </c>
      <c r="C543" s="759"/>
      <c r="D543" s="760"/>
      <c r="E543" s="761"/>
      <c r="F543" s="762"/>
      <c r="G543" s="193"/>
      <c r="H543" s="555">
        <f>IF(Consolidado_A!$G$133&gt;=7.6%,-(0.0165+0.076)*F543,0)</f>
        <v>0</v>
      </c>
      <c r="I543" s="193"/>
      <c r="J543" s="561">
        <f t="shared" si="24"/>
        <v>0</v>
      </c>
      <c r="K543" s="193"/>
      <c r="L543" s="561">
        <f t="shared" si="25"/>
        <v>0</v>
      </c>
      <c r="M543" s="193"/>
      <c r="N543" s="561">
        <f t="shared" si="26"/>
        <v>0</v>
      </c>
    </row>
    <row r="544" spans="2:14" hidden="1">
      <c r="B544" s="745">
        <v>532</v>
      </c>
      <c r="C544" s="759"/>
      <c r="D544" s="760"/>
      <c r="E544" s="761"/>
      <c r="F544" s="762"/>
      <c r="G544" s="193"/>
      <c r="H544" s="555">
        <f>IF(Consolidado_A!$G$133&gt;=7.6%,-(0.0165+0.076)*F544,0)</f>
        <v>0</v>
      </c>
      <c r="I544" s="193"/>
      <c r="J544" s="561">
        <f t="shared" si="24"/>
        <v>0</v>
      </c>
      <c r="K544" s="193"/>
      <c r="L544" s="561">
        <f t="shared" si="25"/>
        <v>0</v>
      </c>
      <c r="M544" s="193"/>
      <c r="N544" s="561">
        <f t="shared" si="26"/>
        <v>0</v>
      </c>
    </row>
    <row r="545" spans="2:14" hidden="1">
      <c r="B545" s="745">
        <v>533</v>
      </c>
      <c r="C545" s="759"/>
      <c r="D545" s="760"/>
      <c r="E545" s="761"/>
      <c r="F545" s="762"/>
      <c r="G545" s="193"/>
      <c r="H545" s="555">
        <f>IF(Consolidado_A!$G$133&gt;=7.6%,-(0.0165+0.076)*F545,0)</f>
        <v>0</v>
      </c>
      <c r="I545" s="193"/>
      <c r="J545" s="561">
        <f t="shared" si="24"/>
        <v>0</v>
      </c>
      <c r="K545" s="193"/>
      <c r="L545" s="561">
        <f t="shared" si="25"/>
        <v>0</v>
      </c>
      <c r="M545" s="193"/>
      <c r="N545" s="561">
        <f t="shared" si="26"/>
        <v>0</v>
      </c>
    </row>
    <row r="546" spans="2:14" hidden="1">
      <c r="B546" s="745">
        <v>534</v>
      </c>
      <c r="C546" s="759"/>
      <c r="D546" s="760"/>
      <c r="E546" s="761"/>
      <c r="F546" s="762"/>
      <c r="G546" s="193"/>
      <c r="H546" s="555">
        <f>IF(Consolidado_A!$G$133&gt;=7.6%,-(0.0165+0.076)*F546,0)</f>
        <v>0</v>
      </c>
      <c r="I546" s="193"/>
      <c r="J546" s="561">
        <f t="shared" si="24"/>
        <v>0</v>
      </c>
      <c r="K546" s="193"/>
      <c r="L546" s="561">
        <f t="shared" si="25"/>
        <v>0</v>
      </c>
      <c r="M546" s="193"/>
      <c r="N546" s="561">
        <f t="shared" si="26"/>
        <v>0</v>
      </c>
    </row>
    <row r="547" spans="2:14" hidden="1">
      <c r="B547" s="745">
        <v>535</v>
      </c>
      <c r="C547" s="759"/>
      <c r="D547" s="760"/>
      <c r="E547" s="761"/>
      <c r="F547" s="762"/>
      <c r="G547" s="193"/>
      <c r="H547" s="555">
        <f>IF(Consolidado_A!$G$133&gt;=7.6%,-(0.0165+0.076)*F547,0)</f>
        <v>0</v>
      </c>
      <c r="I547" s="193"/>
      <c r="J547" s="561">
        <f t="shared" si="24"/>
        <v>0</v>
      </c>
      <c r="K547" s="193"/>
      <c r="L547" s="561">
        <f t="shared" si="25"/>
        <v>0</v>
      </c>
      <c r="M547" s="193"/>
      <c r="N547" s="561">
        <f t="shared" si="26"/>
        <v>0</v>
      </c>
    </row>
    <row r="548" spans="2:14" hidden="1">
      <c r="B548" s="745">
        <v>536</v>
      </c>
      <c r="C548" s="759"/>
      <c r="D548" s="760"/>
      <c r="E548" s="761"/>
      <c r="F548" s="762"/>
      <c r="G548" s="193"/>
      <c r="H548" s="555">
        <f>IF(Consolidado_A!$G$133&gt;=7.6%,-(0.0165+0.076)*F548,0)</f>
        <v>0</v>
      </c>
      <c r="I548" s="193"/>
      <c r="J548" s="561">
        <f t="shared" si="24"/>
        <v>0</v>
      </c>
      <c r="K548" s="193"/>
      <c r="L548" s="561">
        <f t="shared" si="25"/>
        <v>0</v>
      </c>
      <c r="M548" s="193"/>
      <c r="N548" s="561">
        <f t="shared" si="26"/>
        <v>0</v>
      </c>
    </row>
    <row r="549" spans="2:14" hidden="1">
      <c r="B549" s="745">
        <v>537</v>
      </c>
      <c r="C549" s="759"/>
      <c r="D549" s="760"/>
      <c r="E549" s="761"/>
      <c r="F549" s="762"/>
      <c r="G549" s="193"/>
      <c r="H549" s="555">
        <f>IF(Consolidado_A!$G$133&gt;=7.6%,-(0.0165+0.076)*F549,0)</f>
        <v>0</v>
      </c>
      <c r="I549" s="193"/>
      <c r="J549" s="561">
        <f t="shared" si="24"/>
        <v>0</v>
      </c>
      <c r="K549" s="193"/>
      <c r="L549" s="561">
        <f t="shared" si="25"/>
        <v>0</v>
      </c>
      <c r="M549" s="193"/>
      <c r="N549" s="561">
        <f t="shared" si="26"/>
        <v>0</v>
      </c>
    </row>
    <row r="550" spans="2:14" hidden="1">
      <c r="B550" s="745">
        <v>538</v>
      </c>
      <c r="C550" s="759"/>
      <c r="D550" s="760"/>
      <c r="E550" s="761"/>
      <c r="F550" s="762"/>
      <c r="G550" s="193"/>
      <c r="H550" s="555">
        <f>IF(Consolidado_A!$G$133&gt;=7.6%,-(0.0165+0.076)*F550,0)</f>
        <v>0</v>
      </c>
      <c r="I550" s="193"/>
      <c r="J550" s="561">
        <f t="shared" si="24"/>
        <v>0</v>
      </c>
      <c r="K550" s="193"/>
      <c r="L550" s="561">
        <f t="shared" si="25"/>
        <v>0</v>
      </c>
      <c r="M550" s="193"/>
      <c r="N550" s="561">
        <f t="shared" si="26"/>
        <v>0</v>
      </c>
    </row>
    <row r="551" spans="2:14" hidden="1">
      <c r="B551" s="745">
        <v>539</v>
      </c>
      <c r="C551" s="759"/>
      <c r="D551" s="760"/>
      <c r="E551" s="761"/>
      <c r="F551" s="762"/>
      <c r="G551" s="193"/>
      <c r="H551" s="555">
        <f>IF(Consolidado_A!$G$133&gt;=7.6%,-(0.0165+0.076)*F551,0)</f>
        <v>0</v>
      </c>
      <c r="I551" s="193"/>
      <c r="J551" s="561">
        <f t="shared" si="24"/>
        <v>0</v>
      </c>
      <c r="K551" s="193"/>
      <c r="L551" s="561">
        <f t="shared" si="25"/>
        <v>0</v>
      </c>
      <c r="M551" s="193"/>
      <c r="N551" s="561">
        <f t="shared" si="26"/>
        <v>0</v>
      </c>
    </row>
    <row r="552" spans="2:14" hidden="1">
      <c r="B552" s="745">
        <v>540</v>
      </c>
      <c r="C552" s="759"/>
      <c r="D552" s="760"/>
      <c r="E552" s="761"/>
      <c r="F552" s="762"/>
      <c r="G552" s="193"/>
      <c r="H552" s="555">
        <f>IF(Consolidado_A!$G$133&gt;=7.6%,-(0.0165+0.076)*F552,0)</f>
        <v>0</v>
      </c>
      <c r="I552" s="193"/>
      <c r="J552" s="561">
        <f t="shared" si="24"/>
        <v>0</v>
      </c>
      <c r="K552" s="193"/>
      <c r="L552" s="561">
        <f t="shared" si="25"/>
        <v>0</v>
      </c>
      <c r="M552" s="193"/>
      <c r="N552" s="561">
        <f t="shared" si="26"/>
        <v>0</v>
      </c>
    </row>
    <row r="553" spans="2:14" hidden="1">
      <c r="B553" s="745">
        <v>541</v>
      </c>
      <c r="C553" s="759"/>
      <c r="D553" s="760"/>
      <c r="E553" s="761"/>
      <c r="F553" s="762"/>
      <c r="G553" s="193"/>
      <c r="H553" s="555">
        <f>IF(Consolidado_A!$G$133&gt;=7.6%,-(0.0165+0.076)*F553,0)</f>
        <v>0</v>
      </c>
      <c r="I553" s="193"/>
      <c r="J553" s="561">
        <f t="shared" si="24"/>
        <v>0</v>
      </c>
      <c r="K553" s="193"/>
      <c r="L553" s="561">
        <f t="shared" si="25"/>
        <v>0</v>
      </c>
      <c r="M553" s="193"/>
      <c r="N553" s="561">
        <f t="shared" si="26"/>
        <v>0</v>
      </c>
    </row>
    <row r="554" spans="2:14" hidden="1">
      <c r="B554" s="745">
        <v>542</v>
      </c>
      <c r="C554" s="759"/>
      <c r="D554" s="760"/>
      <c r="E554" s="761"/>
      <c r="F554" s="762"/>
      <c r="G554" s="193"/>
      <c r="H554" s="555">
        <f>IF(Consolidado_A!$G$133&gt;=7.6%,-(0.0165+0.076)*F554,0)</f>
        <v>0</v>
      </c>
      <c r="I554" s="193"/>
      <c r="J554" s="561">
        <f t="shared" si="24"/>
        <v>0</v>
      </c>
      <c r="K554" s="193"/>
      <c r="L554" s="561">
        <f t="shared" si="25"/>
        <v>0</v>
      </c>
      <c r="M554" s="193"/>
      <c r="N554" s="561">
        <f t="shared" si="26"/>
        <v>0</v>
      </c>
    </row>
    <row r="555" spans="2:14" hidden="1">
      <c r="B555" s="745">
        <v>543</v>
      </c>
      <c r="C555" s="759"/>
      <c r="D555" s="760"/>
      <c r="E555" s="761"/>
      <c r="F555" s="762"/>
      <c r="G555" s="193"/>
      <c r="H555" s="555">
        <f>IF(Consolidado_A!$G$133&gt;=7.6%,-(0.0165+0.076)*F555,0)</f>
        <v>0</v>
      </c>
      <c r="I555" s="193"/>
      <c r="J555" s="561">
        <f t="shared" si="24"/>
        <v>0</v>
      </c>
      <c r="K555" s="193"/>
      <c r="L555" s="561">
        <f t="shared" si="25"/>
        <v>0</v>
      </c>
      <c r="M555" s="193"/>
      <c r="N555" s="561">
        <f t="shared" si="26"/>
        <v>0</v>
      </c>
    </row>
    <row r="556" spans="2:14" hidden="1">
      <c r="B556" s="745">
        <v>544</v>
      </c>
      <c r="C556" s="759"/>
      <c r="D556" s="760"/>
      <c r="E556" s="761"/>
      <c r="F556" s="762"/>
      <c r="G556" s="193"/>
      <c r="H556" s="555">
        <f>IF(Consolidado_A!$G$133&gt;=7.6%,-(0.0165+0.076)*F556,0)</f>
        <v>0</v>
      </c>
      <c r="I556" s="193"/>
      <c r="J556" s="561">
        <f t="shared" si="24"/>
        <v>0</v>
      </c>
      <c r="K556" s="193"/>
      <c r="L556" s="561">
        <f t="shared" si="25"/>
        <v>0</v>
      </c>
      <c r="M556" s="193"/>
      <c r="N556" s="561">
        <f t="shared" si="26"/>
        <v>0</v>
      </c>
    </row>
    <row r="557" spans="2:14" hidden="1">
      <c r="B557" s="745">
        <v>545</v>
      </c>
      <c r="C557" s="759"/>
      <c r="D557" s="760"/>
      <c r="E557" s="761"/>
      <c r="F557" s="762"/>
      <c r="G557" s="193"/>
      <c r="H557" s="555">
        <f>IF(Consolidado_A!$G$133&gt;=7.6%,-(0.0165+0.076)*F557,0)</f>
        <v>0</v>
      </c>
      <c r="I557" s="193"/>
      <c r="J557" s="561">
        <f t="shared" si="24"/>
        <v>0</v>
      </c>
      <c r="K557" s="193"/>
      <c r="L557" s="561">
        <f t="shared" si="25"/>
        <v>0</v>
      </c>
      <c r="M557" s="193"/>
      <c r="N557" s="561">
        <f t="shared" si="26"/>
        <v>0</v>
      </c>
    </row>
    <row r="558" spans="2:14" hidden="1">
      <c r="B558" s="745">
        <v>546</v>
      </c>
      <c r="C558" s="759"/>
      <c r="D558" s="760"/>
      <c r="E558" s="761"/>
      <c r="F558" s="762"/>
      <c r="G558" s="193"/>
      <c r="H558" s="555">
        <f>IF(Consolidado_A!$G$133&gt;=7.6%,-(0.0165+0.076)*F558,0)</f>
        <v>0</v>
      </c>
      <c r="I558" s="193"/>
      <c r="J558" s="561">
        <f t="shared" si="24"/>
        <v>0</v>
      </c>
      <c r="K558" s="193"/>
      <c r="L558" s="561">
        <f t="shared" si="25"/>
        <v>0</v>
      </c>
      <c r="M558" s="193"/>
      <c r="N558" s="561">
        <f t="shared" si="26"/>
        <v>0</v>
      </c>
    </row>
    <row r="559" spans="2:14" hidden="1">
      <c r="B559" s="745">
        <v>547</v>
      </c>
      <c r="C559" s="759"/>
      <c r="D559" s="760"/>
      <c r="E559" s="761"/>
      <c r="F559" s="762"/>
      <c r="G559" s="193"/>
      <c r="H559" s="555">
        <f>IF(Consolidado_A!$G$133&gt;=7.6%,-(0.0165+0.076)*F559,0)</f>
        <v>0</v>
      </c>
      <c r="I559" s="193"/>
      <c r="J559" s="561">
        <f t="shared" si="24"/>
        <v>0</v>
      </c>
      <c r="K559" s="193"/>
      <c r="L559" s="561">
        <f t="shared" si="25"/>
        <v>0</v>
      </c>
      <c r="M559" s="193"/>
      <c r="N559" s="561">
        <f t="shared" si="26"/>
        <v>0</v>
      </c>
    </row>
    <row r="560" spans="2:14" hidden="1">
      <c r="B560" s="745">
        <v>548</v>
      </c>
      <c r="C560" s="759"/>
      <c r="D560" s="760"/>
      <c r="E560" s="761"/>
      <c r="F560" s="762"/>
      <c r="G560" s="193"/>
      <c r="H560" s="555">
        <f>IF(Consolidado_A!$G$133&gt;=7.6%,-(0.0165+0.076)*F560,0)</f>
        <v>0</v>
      </c>
      <c r="I560" s="193"/>
      <c r="J560" s="561">
        <f t="shared" si="24"/>
        <v>0</v>
      </c>
      <c r="K560" s="193"/>
      <c r="L560" s="561">
        <f t="shared" si="25"/>
        <v>0</v>
      </c>
      <c r="M560" s="193"/>
      <c r="N560" s="561">
        <f t="shared" si="26"/>
        <v>0</v>
      </c>
    </row>
    <row r="561" spans="2:14" hidden="1">
      <c r="B561" s="745">
        <v>549</v>
      </c>
      <c r="C561" s="759"/>
      <c r="D561" s="760"/>
      <c r="E561" s="761"/>
      <c r="F561" s="762"/>
      <c r="G561" s="193"/>
      <c r="H561" s="555">
        <f>IF(Consolidado_A!$G$133&gt;=7.6%,-(0.0165+0.076)*F561,0)</f>
        <v>0</v>
      </c>
      <c r="I561" s="193"/>
      <c r="J561" s="561">
        <f t="shared" si="24"/>
        <v>0</v>
      </c>
      <c r="K561" s="193"/>
      <c r="L561" s="561">
        <f t="shared" si="25"/>
        <v>0</v>
      </c>
      <c r="M561" s="193"/>
      <c r="N561" s="561">
        <f t="shared" si="26"/>
        <v>0</v>
      </c>
    </row>
    <row r="562" spans="2:14" hidden="1">
      <c r="B562" s="745">
        <v>550</v>
      </c>
      <c r="C562" s="759"/>
      <c r="D562" s="760"/>
      <c r="E562" s="761"/>
      <c r="F562" s="762"/>
      <c r="G562" s="193"/>
      <c r="H562" s="555">
        <f>IF(Consolidado_A!$G$133&gt;=7.6%,-(0.0165+0.076)*F562,0)</f>
        <v>0</v>
      </c>
      <c r="I562" s="193"/>
      <c r="J562" s="561">
        <f t="shared" si="24"/>
        <v>0</v>
      </c>
      <c r="K562" s="193"/>
      <c r="L562" s="561">
        <f t="shared" si="25"/>
        <v>0</v>
      </c>
      <c r="M562" s="193"/>
      <c r="N562" s="561">
        <f t="shared" si="26"/>
        <v>0</v>
      </c>
    </row>
    <row r="563" spans="2:14" hidden="1">
      <c r="B563" s="745">
        <v>551</v>
      </c>
      <c r="C563" s="759"/>
      <c r="D563" s="760"/>
      <c r="E563" s="761"/>
      <c r="F563" s="762"/>
      <c r="G563" s="193"/>
      <c r="H563" s="555">
        <f>IF(Consolidado_A!$G$133&gt;=7.6%,-(0.0165+0.076)*F563,0)</f>
        <v>0</v>
      </c>
      <c r="I563" s="193"/>
      <c r="J563" s="561">
        <f t="shared" si="24"/>
        <v>0</v>
      </c>
      <c r="K563" s="193"/>
      <c r="L563" s="561">
        <f t="shared" si="25"/>
        <v>0</v>
      </c>
      <c r="M563" s="193"/>
      <c r="N563" s="561">
        <f t="shared" si="26"/>
        <v>0</v>
      </c>
    </row>
    <row r="564" spans="2:14" hidden="1">
      <c r="B564" s="745">
        <v>552</v>
      </c>
      <c r="C564" s="759"/>
      <c r="D564" s="760"/>
      <c r="E564" s="761"/>
      <c r="F564" s="762"/>
      <c r="G564" s="193"/>
      <c r="H564" s="555">
        <f>IF(Consolidado_A!$G$133&gt;=7.6%,-(0.0165+0.076)*F564,0)</f>
        <v>0</v>
      </c>
      <c r="I564" s="193"/>
      <c r="J564" s="561">
        <f t="shared" si="24"/>
        <v>0</v>
      </c>
      <c r="K564" s="193"/>
      <c r="L564" s="561">
        <f t="shared" si="25"/>
        <v>0</v>
      </c>
      <c r="M564" s="193"/>
      <c r="N564" s="561">
        <f t="shared" si="26"/>
        <v>0</v>
      </c>
    </row>
    <row r="565" spans="2:14" hidden="1">
      <c r="B565" s="745">
        <v>553</v>
      </c>
      <c r="C565" s="759"/>
      <c r="D565" s="760"/>
      <c r="E565" s="761"/>
      <c r="F565" s="762"/>
      <c r="G565" s="193"/>
      <c r="H565" s="555">
        <f>IF(Consolidado_A!$G$133&gt;=7.6%,-(0.0165+0.076)*F565,0)</f>
        <v>0</v>
      </c>
      <c r="I565" s="193"/>
      <c r="J565" s="561">
        <f t="shared" si="24"/>
        <v>0</v>
      </c>
      <c r="K565" s="193"/>
      <c r="L565" s="561">
        <f t="shared" si="25"/>
        <v>0</v>
      </c>
      <c r="M565" s="193"/>
      <c r="N565" s="561">
        <f t="shared" si="26"/>
        <v>0</v>
      </c>
    </row>
    <row r="566" spans="2:14" hidden="1">
      <c r="B566" s="745">
        <v>554</v>
      </c>
      <c r="C566" s="759"/>
      <c r="D566" s="760"/>
      <c r="E566" s="761"/>
      <c r="F566" s="762"/>
      <c r="G566" s="193"/>
      <c r="H566" s="555">
        <f>IF(Consolidado_A!$G$133&gt;=7.6%,-(0.0165+0.076)*F566,0)</f>
        <v>0</v>
      </c>
      <c r="I566" s="193"/>
      <c r="J566" s="561">
        <f t="shared" si="24"/>
        <v>0</v>
      </c>
      <c r="K566" s="193"/>
      <c r="L566" s="561">
        <f t="shared" si="25"/>
        <v>0</v>
      </c>
      <c r="M566" s="193"/>
      <c r="N566" s="561">
        <f t="shared" si="26"/>
        <v>0</v>
      </c>
    </row>
    <row r="567" spans="2:14" hidden="1">
      <c r="B567" s="745">
        <v>555</v>
      </c>
      <c r="C567" s="759"/>
      <c r="D567" s="760"/>
      <c r="E567" s="761"/>
      <c r="F567" s="762"/>
      <c r="G567" s="193"/>
      <c r="H567" s="555">
        <f>IF(Consolidado_A!$G$133&gt;=7.6%,-(0.0165+0.076)*F567,0)</f>
        <v>0</v>
      </c>
      <c r="I567" s="193"/>
      <c r="J567" s="561">
        <f t="shared" si="24"/>
        <v>0</v>
      </c>
      <c r="K567" s="193"/>
      <c r="L567" s="561">
        <f t="shared" si="25"/>
        <v>0</v>
      </c>
      <c r="M567" s="193"/>
      <c r="N567" s="561">
        <f t="shared" si="26"/>
        <v>0</v>
      </c>
    </row>
    <row r="568" spans="2:14" hidden="1">
      <c r="B568" s="745">
        <v>556</v>
      </c>
      <c r="C568" s="759"/>
      <c r="D568" s="760"/>
      <c r="E568" s="761"/>
      <c r="F568" s="762"/>
      <c r="G568" s="193"/>
      <c r="H568" s="555">
        <f>IF(Consolidado_A!$G$133&gt;=7.6%,-(0.0165+0.076)*F568,0)</f>
        <v>0</v>
      </c>
      <c r="I568" s="193"/>
      <c r="J568" s="561">
        <f t="shared" si="24"/>
        <v>0</v>
      </c>
      <c r="K568" s="193"/>
      <c r="L568" s="561">
        <f t="shared" si="25"/>
        <v>0</v>
      </c>
      <c r="M568" s="193"/>
      <c r="N568" s="561">
        <f t="shared" si="26"/>
        <v>0</v>
      </c>
    </row>
    <row r="569" spans="2:14" hidden="1">
      <c r="B569" s="745">
        <v>557</v>
      </c>
      <c r="C569" s="759"/>
      <c r="D569" s="760"/>
      <c r="E569" s="761"/>
      <c r="F569" s="762"/>
      <c r="G569" s="193"/>
      <c r="H569" s="555">
        <f>IF(Consolidado_A!$G$133&gt;=7.6%,-(0.0165+0.076)*F569,0)</f>
        <v>0</v>
      </c>
      <c r="I569" s="193"/>
      <c r="J569" s="561">
        <f t="shared" si="24"/>
        <v>0</v>
      </c>
      <c r="K569" s="193"/>
      <c r="L569" s="561">
        <f t="shared" si="25"/>
        <v>0</v>
      </c>
      <c r="M569" s="193"/>
      <c r="N569" s="561">
        <f t="shared" si="26"/>
        <v>0</v>
      </c>
    </row>
    <row r="570" spans="2:14" hidden="1">
      <c r="B570" s="745">
        <v>558</v>
      </c>
      <c r="C570" s="759"/>
      <c r="D570" s="760"/>
      <c r="E570" s="761"/>
      <c r="F570" s="762"/>
      <c r="G570" s="193"/>
      <c r="H570" s="555">
        <f>IF(Consolidado_A!$G$133&gt;=7.6%,-(0.0165+0.076)*F570,0)</f>
        <v>0</v>
      </c>
      <c r="I570" s="193"/>
      <c r="J570" s="561">
        <f t="shared" si="24"/>
        <v>0</v>
      </c>
      <c r="K570" s="193"/>
      <c r="L570" s="561">
        <f t="shared" si="25"/>
        <v>0</v>
      </c>
      <c r="M570" s="193"/>
      <c r="N570" s="561">
        <f t="shared" si="26"/>
        <v>0</v>
      </c>
    </row>
    <row r="571" spans="2:14" hidden="1">
      <c r="B571" s="745">
        <v>559</v>
      </c>
      <c r="C571" s="759"/>
      <c r="D571" s="760"/>
      <c r="E571" s="761"/>
      <c r="F571" s="762"/>
      <c r="G571" s="193"/>
      <c r="H571" s="555">
        <f>IF(Consolidado_A!$G$133&gt;=7.6%,-(0.0165+0.076)*F571,0)</f>
        <v>0</v>
      </c>
      <c r="I571" s="193"/>
      <c r="J571" s="561">
        <f t="shared" si="24"/>
        <v>0</v>
      </c>
      <c r="K571" s="193"/>
      <c r="L571" s="561">
        <f t="shared" si="25"/>
        <v>0</v>
      </c>
      <c r="M571" s="193"/>
      <c r="N571" s="561">
        <f t="shared" si="26"/>
        <v>0</v>
      </c>
    </row>
    <row r="572" spans="2:14" hidden="1">
      <c r="B572" s="745">
        <v>560</v>
      </c>
      <c r="C572" s="759"/>
      <c r="D572" s="760"/>
      <c r="E572" s="761"/>
      <c r="F572" s="762"/>
      <c r="G572" s="193"/>
      <c r="H572" s="555">
        <f>IF(Consolidado_A!$G$133&gt;=7.6%,-(0.0165+0.076)*F572,0)</f>
        <v>0</v>
      </c>
      <c r="I572" s="193"/>
      <c r="J572" s="561">
        <f t="shared" si="24"/>
        <v>0</v>
      </c>
      <c r="K572" s="193"/>
      <c r="L572" s="561">
        <f t="shared" si="25"/>
        <v>0</v>
      </c>
      <c r="M572" s="193"/>
      <c r="N572" s="561">
        <f t="shared" si="26"/>
        <v>0</v>
      </c>
    </row>
    <row r="573" spans="2:14" hidden="1">
      <c r="B573" s="745">
        <v>561</v>
      </c>
      <c r="C573" s="759"/>
      <c r="D573" s="760"/>
      <c r="E573" s="761"/>
      <c r="F573" s="762"/>
      <c r="G573" s="193"/>
      <c r="H573" s="555">
        <f>IF(Consolidado_A!$G$133&gt;=7.6%,-(0.0165+0.076)*F573,0)</f>
        <v>0</v>
      </c>
      <c r="I573" s="193"/>
      <c r="J573" s="561">
        <f t="shared" si="24"/>
        <v>0</v>
      </c>
      <c r="K573" s="193"/>
      <c r="L573" s="561">
        <f t="shared" si="25"/>
        <v>0</v>
      </c>
      <c r="M573" s="193"/>
      <c r="N573" s="561">
        <f t="shared" si="26"/>
        <v>0</v>
      </c>
    </row>
    <row r="574" spans="2:14" hidden="1">
      <c r="B574" s="745">
        <v>562</v>
      </c>
      <c r="C574" s="759"/>
      <c r="D574" s="760"/>
      <c r="E574" s="761"/>
      <c r="F574" s="762"/>
      <c r="G574" s="193"/>
      <c r="H574" s="555">
        <f>IF(Consolidado_A!$G$133&gt;=7.6%,-(0.0165+0.076)*F574,0)</f>
        <v>0</v>
      </c>
      <c r="I574" s="193"/>
      <c r="J574" s="561">
        <f t="shared" si="24"/>
        <v>0</v>
      </c>
      <c r="K574" s="193"/>
      <c r="L574" s="561">
        <f t="shared" si="25"/>
        <v>0</v>
      </c>
      <c r="M574" s="193"/>
      <c r="N574" s="561">
        <f t="shared" si="26"/>
        <v>0</v>
      </c>
    </row>
    <row r="575" spans="2:14" hidden="1">
      <c r="B575" s="745">
        <v>563</v>
      </c>
      <c r="C575" s="759"/>
      <c r="D575" s="760"/>
      <c r="E575" s="761"/>
      <c r="F575" s="762"/>
      <c r="G575" s="193"/>
      <c r="H575" s="555">
        <f>IF(Consolidado_A!$G$133&gt;=7.6%,-(0.0165+0.076)*F575,0)</f>
        <v>0</v>
      </c>
      <c r="I575" s="193"/>
      <c r="J575" s="561">
        <f t="shared" si="24"/>
        <v>0</v>
      </c>
      <c r="K575" s="193"/>
      <c r="L575" s="561">
        <f t="shared" si="25"/>
        <v>0</v>
      </c>
      <c r="M575" s="193"/>
      <c r="N575" s="561">
        <f t="shared" si="26"/>
        <v>0</v>
      </c>
    </row>
    <row r="576" spans="2:14" hidden="1">
      <c r="B576" s="745">
        <v>564</v>
      </c>
      <c r="C576" s="759"/>
      <c r="D576" s="760"/>
      <c r="E576" s="761"/>
      <c r="F576" s="762"/>
      <c r="G576" s="193"/>
      <c r="H576" s="555">
        <f>IF(Consolidado_A!$G$133&gt;=7.6%,-(0.0165+0.076)*F576,0)</f>
        <v>0</v>
      </c>
      <c r="I576" s="193"/>
      <c r="J576" s="561">
        <f t="shared" si="24"/>
        <v>0</v>
      </c>
      <c r="K576" s="193"/>
      <c r="L576" s="561">
        <f t="shared" si="25"/>
        <v>0</v>
      </c>
      <c r="M576" s="193"/>
      <c r="N576" s="561">
        <f t="shared" si="26"/>
        <v>0</v>
      </c>
    </row>
    <row r="577" spans="2:14" hidden="1">
      <c r="B577" s="745">
        <v>565</v>
      </c>
      <c r="C577" s="759"/>
      <c r="D577" s="760"/>
      <c r="E577" s="761"/>
      <c r="F577" s="762"/>
      <c r="G577" s="193"/>
      <c r="H577" s="555">
        <f>IF(Consolidado_A!$G$133&gt;=7.6%,-(0.0165+0.076)*F577,0)</f>
        <v>0</v>
      </c>
      <c r="I577" s="193"/>
      <c r="J577" s="561">
        <f t="shared" si="24"/>
        <v>0</v>
      </c>
      <c r="K577" s="193"/>
      <c r="L577" s="561">
        <f t="shared" si="25"/>
        <v>0</v>
      </c>
      <c r="M577" s="193"/>
      <c r="N577" s="561">
        <f t="shared" si="26"/>
        <v>0</v>
      </c>
    </row>
    <row r="578" spans="2:14" hidden="1">
      <c r="B578" s="745">
        <v>566</v>
      </c>
      <c r="C578" s="759"/>
      <c r="D578" s="760"/>
      <c r="E578" s="761"/>
      <c r="F578" s="762"/>
      <c r="G578" s="193"/>
      <c r="H578" s="555">
        <f>IF(Consolidado_A!$G$133&gt;=7.6%,-(0.0165+0.076)*F578,0)</f>
        <v>0</v>
      </c>
      <c r="I578" s="193"/>
      <c r="J578" s="561">
        <f t="shared" si="24"/>
        <v>0</v>
      </c>
      <c r="K578" s="193"/>
      <c r="L578" s="561">
        <f t="shared" si="25"/>
        <v>0</v>
      </c>
      <c r="M578" s="193"/>
      <c r="N578" s="561">
        <f t="shared" si="26"/>
        <v>0</v>
      </c>
    </row>
    <row r="579" spans="2:14" hidden="1">
      <c r="B579" s="745">
        <v>567</v>
      </c>
      <c r="C579" s="759"/>
      <c r="D579" s="760"/>
      <c r="E579" s="761"/>
      <c r="F579" s="762"/>
      <c r="G579" s="193"/>
      <c r="H579" s="555">
        <f>IF(Consolidado_A!$G$133&gt;=7.6%,-(0.0165+0.076)*F579,0)</f>
        <v>0</v>
      </c>
      <c r="I579" s="193"/>
      <c r="J579" s="561">
        <f t="shared" si="24"/>
        <v>0</v>
      </c>
      <c r="K579" s="193"/>
      <c r="L579" s="561">
        <f t="shared" si="25"/>
        <v>0</v>
      </c>
      <c r="M579" s="193"/>
      <c r="N579" s="561">
        <f t="shared" si="26"/>
        <v>0</v>
      </c>
    </row>
    <row r="580" spans="2:14" hidden="1">
      <c r="B580" s="745">
        <v>568</v>
      </c>
      <c r="C580" s="759"/>
      <c r="D580" s="760"/>
      <c r="E580" s="761"/>
      <c r="F580" s="762"/>
      <c r="G580" s="193"/>
      <c r="H580" s="555">
        <f>IF(Consolidado_A!$G$133&gt;=7.6%,-(0.0165+0.076)*F580,0)</f>
        <v>0</v>
      </c>
      <c r="I580" s="193"/>
      <c r="J580" s="561">
        <f t="shared" si="24"/>
        <v>0</v>
      </c>
      <c r="K580" s="193"/>
      <c r="L580" s="561">
        <f t="shared" si="25"/>
        <v>0</v>
      </c>
      <c r="M580" s="193"/>
      <c r="N580" s="561">
        <f t="shared" si="26"/>
        <v>0</v>
      </c>
    </row>
    <row r="581" spans="2:14" hidden="1">
      <c r="B581" s="745">
        <v>569</v>
      </c>
      <c r="C581" s="759"/>
      <c r="D581" s="760"/>
      <c r="E581" s="761"/>
      <c r="F581" s="762"/>
      <c r="G581" s="193"/>
      <c r="H581" s="555">
        <f>IF(Consolidado_A!$G$133&gt;=7.6%,-(0.0165+0.076)*F581,0)</f>
        <v>0</v>
      </c>
      <c r="I581" s="193"/>
      <c r="J581" s="561">
        <f t="shared" si="24"/>
        <v>0</v>
      </c>
      <c r="K581" s="193"/>
      <c r="L581" s="561">
        <f t="shared" si="25"/>
        <v>0</v>
      </c>
      <c r="M581" s="193"/>
      <c r="N581" s="561">
        <f t="shared" si="26"/>
        <v>0</v>
      </c>
    </row>
    <row r="582" spans="2:14" hidden="1">
      <c r="B582" s="745">
        <v>570</v>
      </c>
      <c r="C582" s="759"/>
      <c r="D582" s="760"/>
      <c r="E582" s="761"/>
      <c r="F582" s="762"/>
      <c r="G582" s="193"/>
      <c r="H582" s="555">
        <f>IF(Consolidado_A!$G$133&gt;=7.6%,-(0.0165+0.076)*F582,0)</f>
        <v>0</v>
      </c>
      <c r="I582" s="193"/>
      <c r="J582" s="561">
        <f t="shared" si="24"/>
        <v>0</v>
      </c>
      <c r="K582" s="193"/>
      <c r="L582" s="561">
        <f t="shared" si="25"/>
        <v>0</v>
      </c>
      <c r="M582" s="193"/>
      <c r="N582" s="561">
        <f t="shared" si="26"/>
        <v>0</v>
      </c>
    </row>
    <row r="583" spans="2:14" hidden="1">
      <c r="B583" s="745">
        <v>571</v>
      </c>
      <c r="C583" s="759"/>
      <c r="D583" s="760"/>
      <c r="E583" s="761"/>
      <c r="F583" s="762"/>
      <c r="G583" s="193"/>
      <c r="H583" s="555">
        <f>IF(Consolidado_A!$G$133&gt;=7.6%,-(0.0165+0.076)*F583,0)</f>
        <v>0</v>
      </c>
      <c r="I583" s="193"/>
      <c r="J583" s="561">
        <f t="shared" si="24"/>
        <v>0</v>
      </c>
      <c r="K583" s="193"/>
      <c r="L583" s="561">
        <f t="shared" si="25"/>
        <v>0</v>
      </c>
      <c r="M583" s="193"/>
      <c r="N583" s="561">
        <f t="shared" si="26"/>
        <v>0</v>
      </c>
    </row>
    <row r="584" spans="2:14" hidden="1">
      <c r="B584" s="745">
        <v>572</v>
      </c>
      <c r="C584" s="759"/>
      <c r="D584" s="760"/>
      <c r="E584" s="761"/>
      <c r="F584" s="762"/>
      <c r="G584" s="193"/>
      <c r="H584" s="555">
        <f>IF(Consolidado_A!$G$133&gt;=7.6%,-(0.0165+0.076)*F584,0)</f>
        <v>0</v>
      </c>
      <c r="I584" s="193"/>
      <c r="J584" s="561">
        <f t="shared" si="24"/>
        <v>0</v>
      </c>
      <c r="K584" s="193"/>
      <c r="L584" s="561">
        <f t="shared" si="25"/>
        <v>0</v>
      </c>
      <c r="M584" s="193"/>
      <c r="N584" s="561">
        <f t="shared" si="26"/>
        <v>0</v>
      </c>
    </row>
    <row r="585" spans="2:14" hidden="1">
      <c r="B585" s="745">
        <v>573</v>
      </c>
      <c r="C585" s="759"/>
      <c r="D585" s="760"/>
      <c r="E585" s="761"/>
      <c r="F585" s="762"/>
      <c r="G585" s="193"/>
      <c r="H585" s="555">
        <f>IF(Consolidado_A!$G$133&gt;=7.6%,-(0.0165+0.076)*F585,0)</f>
        <v>0</v>
      </c>
      <c r="I585" s="193"/>
      <c r="J585" s="561">
        <f t="shared" si="24"/>
        <v>0</v>
      </c>
      <c r="K585" s="193"/>
      <c r="L585" s="561">
        <f t="shared" si="25"/>
        <v>0</v>
      </c>
      <c r="M585" s="193"/>
      <c r="N585" s="561">
        <f t="shared" si="26"/>
        <v>0</v>
      </c>
    </row>
    <row r="586" spans="2:14" hidden="1">
      <c r="B586" s="745">
        <v>574</v>
      </c>
      <c r="C586" s="759"/>
      <c r="D586" s="760"/>
      <c r="E586" s="761"/>
      <c r="F586" s="762"/>
      <c r="G586" s="193"/>
      <c r="H586" s="555">
        <f>IF(Consolidado_A!$G$133&gt;=7.6%,-(0.0165+0.076)*F586,0)</f>
        <v>0</v>
      </c>
      <c r="I586" s="193"/>
      <c r="J586" s="561">
        <f t="shared" si="24"/>
        <v>0</v>
      </c>
      <c r="K586" s="193"/>
      <c r="L586" s="561">
        <f t="shared" si="25"/>
        <v>0</v>
      </c>
      <c r="M586" s="193"/>
      <c r="N586" s="561">
        <f t="shared" si="26"/>
        <v>0</v>
      </c>
    </row>
    <row r="587" spans="2:14" hidden="1">
      <c r="B587" s="745">
        <v>575</v>
      </c>
      <c r="C587" s="759"/>
      <c r="D587" s="760"/>
      <c r="E587" s="761"/>
      <c r="F587" s="762"/>
      <c r="G587" s="193"/>
      <c r="H587" s="555">
        <f>IF(Consolidado_A!$G$133&gt;=7.6%,-(0.0165+0.076)*F587,0)</f>
        <v>0</v>
      </c>
      <c r="I587" s="193"/>
      <c r="J587" s="561">
        <f t="shared" si="24"/>
        <v>0</v>
      </c>
      <c r="K587" s="193"/>
      <c r="L587" s="561">
        <f t="shared" si="25"/>
        <v>0</v>
      </c>
      <c r="M587" s="193"/>
      <c r="N587" s="561">
        <f t="shared" si="26"/>
        <v>0</v>
      </c>
    </row>
    <row r="588" spans="2:14" hidden="1">
      <c r="B588" s="745">
        <v>576</v>
      </c>
      <c r="C588" s="759"/>
      <c r="D588" s="760"/>
      <c r="E588" s="761"/>
      <c r="F588" s="762"/>
      <c r="G588" s="193"/>
      <c r="H588" s="555">
        <f>IF(Consolidado_A!$G$133&gt;=7.6%,-(0.0165+0.076)*F588,0)</f>
        <v>0</v>
      </c>
      <c r="I588" s="193"/>
      <c r="J588" s="561">
        <f t="shared" si="24"/>
        <v>0</v>
      </c>
      <c r="K588" s="193"/>
      <c r="L588" s="561">
        <f t="shared" si="25"/>
        <v>0</v>
      </c>
      <c r="M588" s="193"/>
      <c r="N588" s="561">
        <f t="shared" si="26"/>
        <v>0</v>
      </c>
    </row>
    <row r="589" spans="2:14" hidden="1">
      <c r="B589" s="745">
        <v>577</v>
      </c>
      <c r="C589" s="759"/>
      <c r="D589" s="760"/>
      <c r="E589" s="761"/>
      <c r="F589" s="762"/>
      <c r="G589" s="193"/>
      <c r="H589" s="555">
        <f>IF(Consolidado_A!$G$133&gt;=7.6%,-(0.0165+0.076)*F589,0)</f>
        <v>0</v>
      </c>
      <c r="I589" s="193"/>
      <c r="J589" s="561">
        <f t="shared" ref="J589:J612" si="27">F589+H589</f>
        <v>0</v>
      </c>
      <c r="K589" s="193"/>
      <c r="L589" s="561">
        <f t="shared" ref="L589:L612" si="28">J589*E589</f>
        <v>0</v>
      </c>
      <c r="M589" s="193"/>
      <c r="N589" s="561">
        <f t="shared" ref="N589:N612" si="29">L589*12</f>
        <v>0</v>
      </c>
    </row>
    <row r="590" spans="2:14" hidden="1">
      <c r="B590" s="745">
        <v>578</v>
      </c>
      <c r="C590" s="759"/>
      <c r="D590" s="760"/>
      <c r="E590" s="761"/>
      <c r="F590" s="762"/>
      <c r="G590" s="193"/>
      <c r="H590" s="555">
        <f>IF(Consolidado_A!$G$133&gt;=7.6%,-(0.0165+0.076)*F590,0)</f>
        <v>0</v>
      </c>
      <c r="I590" s="193"/>
      <c r="J590" s="561">
        <f t="shared" si="27"/>
        <v>0</v>
      </c>
      <c r="K590" s="193"/>
      <c r="L590" s="561">
        <f t="shared" si="28"/>
        <v>0</v>
      </c>
      <c r="M590" s="193"/>
      <c r="N590" s="561">
        <f t="shared" si="29"/>
        <v>0</v>
      </c>
    </row>
    <row r="591" spans="2:14" hidden="1">
      <c r="B591" s="745">
        <v>579</v>
      </c>
      <c r="C591" s="759"/>
      <c r="D591" s="760"/>
      <c r="E591" s="761"/>
      <c r="F591" s="762"/>
      <c r="G591" s="193"/>
      <c r="H591" s="555">
        <f>IF(Consolidado_A!$G$133&gt;=7.6%,-(0.0165+0.076)*F591,0)</f>
        <v>0</v>
      </c>
      <c r="I591" s="193"/>
      <c r="J591" s="561">
        <f t="shared" si="27"/>
        <v>0</v>
      </c>
      <c r="K591" s="193"/>
      <c r="L591" s="561">
        <f t="shared" si="28"/>
        <v>0</v>
      </c>
      <c r="M591" s="193"/>
      <c r="N591" s="561">
        <f t="shared" si="29"/>
        <v>0</v>
      </c>
    </row>
    <row r="592" spans="2:14" hidden="1">
      <c r="B592" s="745">
        <v>580</v>
      </c>
      <c r="C592" s="759"/>
      <c r="D592" s="760"/>
      <c r="E592" s="761"/>
      <c r="F592" s="762"/>
      <c r="G592" s="193"/>
      <c r="H592" s="555">
        <f>IF(Consolidado_A!$G$133&gt;=7.6%,-(0.0165+0.076)*F592,0)</f>
        <v>0</v>
      </c>
      <c r="I592" s="193"/>
      <c r="J592" s="561">
        <f t="shared" si="27"/>
        <v>0</v>
      </c>
      <c r="K592" s="193"/>
      <c r="L592" s="561">
        <f t="shared" si="28"/>
        <v>0</v>
      </c>
      <c r="M592" s="193"/>
      <c r="N592" s="561">
        <f t="shared" si="29"/>
        <v>0</v>
      </c>
    </row>
    <row r="593" spans="2:14" hidden="1">
      <c r="B593" s="745">
        <v>581</v>
      </c>
      <c r="C593" s="759"/>
      <c r="D593" s="760"/>
      <c r="E593" s="761"/>
      <c r="F593" s="762"/>
      <c r="G593" s="193"/>
      <c r="H593" s="555">
        <f>IF(Consolidado_A!$G$133&gt;=7.6%,-(0.0165+0.076)*F593,0)</f>
        <v>0</v>
      </c>
      <c r="I593" s="193"/>
      <c r="J593" s="561">
        <f t="shared" si="27"/>
        <v>0</v>
      </c>
      <c r="K593" s="193"/>
      <c r="L593" s="561">
        <f t="shared" si="28"/>
        <v>0</v>
      </c>
      <c r="M593" s="193"/>
      <c r="N593" s="561">
        <f t="shared" si="29"/>
        <v>0</v>
      </c>
    </row>
    <row r="594" spans="2:14" hidden="1">
      <c r="B594" s="745">
        <v>582</v>
      </c>
      <c r="C594" s="759"/>
      <c r="D594" s="760"/>
      <c r="E594" s="761"/>
      <c r="F594" s="762"/>
      <c r="G594" s="193"/>
      <c r="H594" s="555">
        <f>IF(Consolidado_A!$G$133&gt;=7.6%,-(0.0165+0.076)*F594,0)</f>
        <v>0</v>
      </c>
      <c r="I594" s="193"/>
      <c r="J594" s="561">
        <f t="shared" si="27"/>
        <v>0</v>
      </c>
      <c r="K594" s="193"/>
      <c r="L594" s="561">
        <f t="shared" si="28"/>
        <v>0</v>
      </c>
      <c r="M594" s="193"/>
      <c r="N594" s="561">
        <f t="shared" si="29"/>
        <v>0</v>
      </c>
    </row>
    <row r="595" spans="2:14" hidden="1">
      <c r="B595" s="745">
        <v>583</v>
      </c>
      <c r="C595" s="759"/>
      <c r="D595" s="760"/>
      <c r="E595" s="761"/>
      <c r="F595" s="762"/>
      <c r="G595" s="193"/>
      <c r="H595" s="555">
        <f>IF(Consolidado_A!$G$133&gt;=7.6%,-(0.0165+0.076)*F595,0)</f>
        <v>0</v>
      </c>
      <c r="I595" s="193"/>
      <c r="J595" s="561">
        <f t="shared" si="27"/>
        <v>0</v>
      </c>
      <c r="K595" s="193"/>
      <c r="L595" s="561">
        <f t="shared" si="28"/>
        <v>0</v>
      </c>
      <c r="M595" s="193"/>
      <c r="N595" s="561">
        <f t="shared" si="29"/>
        <v>0</v>
      </c>
    </row>
    <row r="596" spans="2:14" hidden="1">
      <c r="B596" s="745">
        <v>584</v>
      </c>
      <c r="C596" s="759"/>
      <c r="D596" s="760"/>
      <c r="E596" s="761"/>
      <c r="F596" s="762"/>
      <c r="G596" s="193"/>
      <c r="H596" s="555">
        <f>IF(Consolidado_A!$G$133&gt;=7.6%,-(0.0165+0.076)*F596,0)</f>
        <v>0</v>
      </c>
      <c r="I596" s="193"/>
      <c r="J596" s="561">
        <f t="shared" si="27"/>
        <v>0</v>
      </c>
      <c r="K596" s="193"/>
      <c r="L596" s="561">
        <f t="shared" si="28"/>
        <v>0</v>
      </c>
      <c r="M596" s="193"/>
      <c r="N596" s="561">
        <f t="shared" si="29"/>
        <v>0</v>
      </c>
    </row>
    <row r="597" spans="2:14" hidden="1">
      <c r="B597" s="745">
        <v>585</v>
      </c>
      <c r="C597" s="759"/>
      <c r="D597" s="760"/>
      <c r="E597" s="761"/>
      <c r="F597" s="762"/>
      <c r="G597" s="193"/>
      <c r="H597" s="555">
        <f>IF(Consolidado_A!$G$133&gt;=7.6%,-(0.0165+0.076)*F597,0)</f>
        <v>0</v>
      </c>
      <c r="I597" s="193"/>
      <c r="J597" s="561">
        <f t="shared" si="27"/>
        <v>0</v>
      </c>
      <c r="K597" s="193"/>
      <c r="L597" s="561">
        <f t="shared" si="28"/>
        <v>0</v>
      </c>
      <c r="M597" s="193"/>
      <c r="N597" s="561">
        <f t="shared" si="29"/>
        <v>0</v>
      </c>
    </row>
    <row r="598" spans="2:14" hidden="1">
      <c r="B598" s="745">
        <v>586</v>
      </c>
      <c r="C598" s="759"/>
      <c r="D598" s="760"/>
      <c r="E598" s="761"/>
      <c r="F598" s="762"/>
      <c r="G598" s="193"/>
      <c r="H598" s="555">
        <f>IF(Consolidado_A!$G$133&gt;=7.6%,-(0.0165+0.076)*F598,0)</f>
        <v>0</v>
      </c>
      <c r="I598" s="193"/>
      <c r="J598" s="561">
        <f t="shared" si="27"/>
        <v>0</v>
      </c>
      <c r="K598" s="193"/>
      <c r="L598" s="561">
        <f t="shared" si="28"/>
        <v>0</v>
      </c>
      <c r="M598" s="193"/>
      <c r="N598" s="561">
        <f t="shared" si="29"/>
        <v>0</v>
      </c>
    </row>
    <row r="599" spans="2:14" hidden="1">
      <c r="B599" s="745">
        <v>587</v>
      </c>
      <c r="C599" s="759"/>
      <c r="D599" s="760"/>
      <c r="E599" s="761"/>
      <c r="F599" s="762"/>
      <c r="G599" s="193"/>
      <c r="H599" s="555">
        <f>IF(Consolidado_A!$G$133&gt;=7.6%,-(0.0165+0.076)*F599,0)</f>
        <v>0</v>
      </c>
      <c r="I599" s="193"/>
      <c r="J599" s="561">
        <f t="shared" si="27"/>
        <v>0</v>
      </c>
      <c r="K599" s="193"/>
      <c r="L599" s="561">
        <f t="shared" si="28"/>
        <v>0</v>
      </c>
      <c r="M599" s="193"/>
      <c r="N599" s="561">
        <f t="shared" si="29"/>
        <v>0</v>
      </c>
    </row>
    <row r="600" spans="2:14" hidden="1">
      <c r="B600" s="745">
        <v>588</v>
      </c>
      <c r="C600" s="759"/>
      <c r="D600" s="760"/>
      <c r="E600" s="761"/>
      <c r="F600" s="762"/>
      <c r="G600" s="193"/>
      <c r="H600" s="555">
        <f>IF(Consolidado_A!$G$133&gt;=7.6%,-(0.0165+0.076)*F600,0)</f>
        <v>0</v>
      </c>
      <c r="I600" s="193"/>
      <c r="J600" s="561">
        <f t="shared" si="27"/>
        <v>0</v>
      </c>
      <c r="K600" s="193"/>
      <c r="L600" s="561">
        <f t="shared" si="28"/>
        <v>0</v>
      </c>
      <c r="M600" s="193"/>
      <c r="N600" s="561">
        <f t="shared" si="29"/>
        <v>0</v>
      </c>
    </row>
    <row r="601" spans="2:14" hidden="1">
      <c r="B601" s="745">
        <v>589</v>
      </c>
      <c r="C601" s="759"/>
      <c r="D601" s="760"/>
      <c r="E601" s="761"/>
      <c r="F601" s="762"/>
      <c r="G601" s="193"/>
      <c r="H601" s="555">
        <f>IF(Consolidado_A!$G$133&gt;=7.6%,-(0.0165+0.076)*F601,0)</f>
        <v>0</v>
      </c>
      <c r="I601" s="193"/>
      <c r="J601" s="561">
        <f t="shared" si="27"/>
        <v>0</v>
      </c>
      <c r="K601" s="193"/>
      <c r="L601" s="561">
        <f t="shared" si="28"/>
        <v>0</v>
      </c>
      <c r="M601" s="193"/>
      <c r="N601" s="561">
        <f t="shared" si="29"/>
        <v>0</v>
      </c>
    </row>
    <row r="602" spans="2:14" hidden="1">
      <c r="B602" s="745">
        <v>590</v>
      </c>
      <c r="C602" s="759"/>
      <c r="D602" s="760"/>
      <c r="E602" s="761"/>
      <c r="F602" s="762"/>
      <c r="G602" s="193"/>
      <c r="H602" s="555">
        <f>IF(Consolidado_A!$G$133&gt;=7.6%,-(0.0165+0.076)*F602,0)</f>
        <v>0</v>
      </c>
      <c r="I602" s="193"/>
      <c r="J602" s="561">
        <f t="shared" si="27"/>
        <v>0</v>
      </c>
      <c r="K602" s="193"/>
      <c r="L602" s="561">
        <f t="shared" si="28"/>
        <v>0</v>
      </c>
      <c r="M602" s="193"/>
      <c r="N602" s="561">
        <f t="shared" si="29"/>
        <v>0</v>
      </c>
    </row>
    <row r="603" spans="2:14" hidden="1">
      <c r="B603" s="745">
        <v>591</v>
      </c>
      <c r="C603" s="759"/>
      <c r="D603" s="760"/>
      <c r="E603" s="761"/>
      <c r="F603" s="762"/>
      <c r="G603" s="193"/>
      <c r="H603" s="555">
        <f>IF(Consolidado_A!$G$133&gt;=7.6%,-(0.0165+0.076)*F603,0)</f>
        <v>0</v>
      </c>
      <c r="I603" s="193"/>
      <c r="J603" s="561">
        <f t="shared" si="27"/>
        <v>0</v>
      </c>
      <c r="K603" s="193"/>
      <c r="L603" s="561">
        <f t="shared" si="28"/>
        <v>0</v>
      </c>
      <c r="M603" s="193"/>
      <c r="N603" s="561">
        <f t="shared" si="29"/>
        <v>0</v>
      </c>
    </row>
    <row r="604" spans="2:14" hidden="1">
      <c r="B604" s="745">
        <v>592</v>
      </c>
      <c r="C604" s="759"/>
      <c r="D604" s="760"/>
      <c r="E604" s="761"/>
      <c r="F604" s="762"/>
      <c r="G604" s="193"/>
      <c r="H604" s="555">
        <f>IF(Consolidado_A!$G$133&gt;=7.6%,-(0.0165+0.076)*F604,0)</f>
        <v>0</v>
      </c>
      <c r="I604" s="193"/>
      <c r="J604" s="561">
        <f t="shared" si="27"/>
        <v>0</v>
      </c>
      <c r="K604" s="193"/>
      <c r="L604" s="561">
        <f t="shared" si="28"/>
        <v>0</v>
      </c>
      <c r="M604" s="193"/>
      <c r="N604" s="561">
        <f t="shared" si="29"/>
        <v>0</v>
      </c>
    </row>
    <row r="605" spans="2:14" hidden="1">
      <c r="B605" s="745">
        <v>593</v>
      </c>
      <c r="C605" s="759"/>
      <c r="D605" s="760"/>
      <c r="E605" s="761"/>
      <c r="F605" s="762"/>
      <c r="G605" s="193"/>
      <c r="H605" s="555">
        <f>IF(Consolidado_A!$G$133&gt;=7.6%,-(0.0165+0.076)*F605,0)</f>
        <v>0</v>
      </c>
      <c r="I605" s="193"/>
      <c r="J605" s="561">
        <f t="shared" si="27"/>
        <v>0</v>
      </c>
      <c r="K605" s="193"/>
      <c r="L605" s="561">
        <f t="shared" si="28"/>
        <v>0</v>
      </c>
      <c r="M605" s="193"/>
      <c r="N605" s="561">
        <f t="shared" si="29"/>
        <v>0</v>
      </c>
    </row>
    <row r="606" spans="2:14" hidden="1">
      <c r="B606" s="745">
        <v>594</v>
      </c>
      <c r="C606" s="759"/>
      <c r="D606" s="760"/>
      <c r="E606" s="761"/>
      <c r="F606" s="762"/>
      <c r="G606" s="193"/>
      <c r="H606" s="555">
        <f>IF(Consolidado_A!$G$133&gt;=7.6%,-(0.0165+0.076)*F606,0)</f>
        <v>0</v>
      </c>
      <c r="I606" s="193"/>
      <c r="J606" s="561">
        <f t="shared" si="27"/>
        <v>0</v>
      </c>
      <c r="K606" s="193"/>
      <c r="L606" s="561">
        <f t="shared" si="28"/>
        <v>0</v>
      </c>
      <c r="M606" s="193"/>
      <c r="N606" s="561">
        <f t="shared" si="29"/>
        <v>0</v>
      </c>
    </row>
    <row r="607" spans="2:14" hidden="1">
      <c r="B607" s="745">
        <v>595</v>
      </c>
      <c r="C607" s="759"/>
      <c r="D607" s="760"/>
      <c r="E607" s="761"/>
      <c r="F607" s="762"/>
      <c r="G607" s="193"/>
      <c r="H607" s="555">
        <f>IF(Consolidado_A!$G$133&gt;=7.6%,-(0.0165+0.076)*F607,0)</f>
        <v>0</v>
      </c>
      <c r="I607" s="193"/>
      <c r="J607" s="561">
        <f t="shared" si="27"/>
        <v>0</v>
      </c>
      <c r="K607" s="193"/>
      <c r="L607" s="561">
        <f t="shared" si="28"/>
        <v>0</v>
      </c>
      <c r="M607" s="193"/>
      <c r="N607" s="561">
        <f t="shared" si="29"/>
        <v>0</v>
      </c>
    </row>
    <row r="608" spans="2:14" hidden="1">
      <c r="B608" s="745">
        <v>596</v>
      </c>
      <c r="C608" s="759"/>
      <c r="D608" s="760"/>
      <c r="E608" s="761"/>
      <c r="F608" s="762"/>
      <c r="G608" s="193"/>
      <c r="H608" s="555">
        <f>IF(Consolidado_A!$G$133&gt;=7.6%,-(0.0165+0.076)*F608,0)</f>
        <v>0</v>
      </c>
      <c r="I608" s="193"/>
      <c r="J608" s="561">
        <f t="shared" si="27"/>
        <v>0</v>
      </c>
      <c r="K608" s="193"/>
      <c r="L608" s="561">
        <f t="shared" si="28"/>
        <v>0</v>
      </c>
      <c r="M608" s="193"/>
      <c r="N608" s="561">
        <f t="shared" si="29"/>
        <v>0</v>
      </c>
    </row>
    <row r="609" spans="2:14" hidden="1">
      <c r="B609" s="745">
        <v>597</v>
      </c>
      <c r="C609" s="759"/>
      <c r="D609" s="760"/>
      <c r="E609" s="761"/>
      <c r="F609" s="762"/>
      <c r="G609" s="193"/>
      <c r="H609" s="555">
        <f>IF(Consolidado_A!$G$133&gt;=7.6%,-(0.0165+0.076)*F609,0)</f>
        <v>0</v>
      </c>
      <c r="I609" s="193"/>
      <c r="J609" s="561">
        <f t="shared" si="27"/>
        <v>0</v>
      </c>
      <c r="K609" s="193"/>
      <c r="L609" s="561">
        <f t="shared" si="28"/>
        <v>0</v>
      </c>
      <c r="M609" s="193"/>
      <c r="N609" s="561">
        <f t="shared" si="29"/>
        <v>0</v>
      </c>
    </row>
    <row r="610" spans="2:14" hidden="1">
      <c r="B610" s="745">
        <v>598</v>
      </c>
      <c r="C610" s="759"/>
      <c r="D610" s="760"/>
      <c r="E610" s="761"/>
      <c r="F610" s="762"/>
      <c r="G610" s="193"/>
      <c r="H610" s="555">
        <f>IF(Consolidado_A!$G$133&gt;=7.6%,-(0.0165+0.076)*F610,0)</f>
        <v>0</v>
      </c>
      <c r="I610" s="193"/>
      <c r="J610" s="561">
        <f t="shared" si="27"/>
        <v>0</v>
      </c>
      <c r="K610" s="193"/>
      <c r="L610" s="561">
        <f t="shared" si="28"/>
        <v>0</v>
      </c>
      <c r="M610" s="193"/>
      <c r="N610" s="561">
        <f t="shared" si="29"/>
        <v>0</v>
      </c>
    </row>
    <row r="611" spans="2:14" hidden="1">
      <c r="B611" s="745">
        <v>599</v>
      </c>
      <c r="C611" s="759"/>
      <c r="D611" s="760"/>
      <c r="E611" s="761"/>
      <c r="F611" s="762"/>
      <c r="G611" s="193"/>
      <c r="H611" s="555">
        <f>IF(Consolidado_A!$G$133&gt;=7.6%,-(0.0165+0.076)*F611,0)</f>
        <v>0</v>
      </c>
      <c r="I611" s="193"/>
      <c r="J611" s="561">
        <f t="shared" si="27"/>
        <v>0</v>
      </c>
      <c r="K611" s="193"/>
      <c r="L611" s="561">
        <f t="shared" si="28"/>
        <v>0</v>
      </c>
      <c r="M611" s="193"/>
      <c r="N611" s="561">
        <f t="shared" si="29"/>
        <v>0</v>
      </c>
    </row>
    <row r="612" spans="2:14" ht="13.5" thickBot="1">
      <c r="B612" s="745">
        <v>600</v>
      </c>
      <c r="C612" s="763"/>
      <c r="D612" s="764"/>
      <c r="E612" s="765"/>
      <c r="F612" s="766"/>
      <c r="G612" s="193"/>
      <c r="H612" s="555">
        <f>IF(Consolidado_A!$G$133&gt;=7.6%,-(0.0165+0.076)*F612,0)</f>
        <v>0</v>
      </c>
      <c r="I612" s="193"/>
      <c r="J612" s="563">
        <f t="shared" si="27"/>
        <v>0</v>
      </c>
      <c r="K612" s="193"/>
      <c r="L612" s="563">
        <f t="shared" si="28"/>
        <v>0</v>
      </c>
      <c r="M612" s="193"/>
      <c r="N612" s="563">
        <f t="shared" si="29"/>
        <v>0</v>
      </c>
    </row>
    <row r="613" spans="2:14" s="769" customFormat="1" ht="13.5" customHeight="1">
      <c r="B613" s="768"/>
      <c r="C613" s="769" t="s">
        <v>258</v>
      </c>
      <c r="E613" s="770"/>
    </row>
    <row r="614" spans="2:14" s="769" customFormat="1" ht="13.5" customHeight="1">
      <c r="B614" s="768"/>
      <c r="C614" s="769" t="s">
        <v>259</v>
      </c>
      <c r="E614" s="770"/>
    </row>
    <row r="615" spans="2:14" s="769" customFormat="1" ht="13.5" customHeight="1">
      <c r="B615" s="768"/>
      <c r="C615" s="769" t="s">
        <v>260</v>
      </c>
      <c r="E615" s="770"/>
    </row>
    <row r="616" spans="2:14" s="769" customFormat="1" ht="13.5" customHeight="1">
      <c r="B616" s="768"/>
      <c r="C616" s="769" t="s">
        <v>261</v>
      </c>
      <c r="E616" s="770"/>
    </row>
    <row r="617" spans="2:14" s="769" customFormat="1" ht="13.5" customHeight="1">
      <c r="B617" s="768"/>
      <c r="C617" s="769" t="s">
        <v>262</v>
      </c>
      <c r="E617" s="770"/>
    </row>
    <row r="618" spans="2:14" s="769" customFormat="1" ht="13.5" customHeight="1">
      <c r="B618" s="768"/>
      <c r="C618" s="769" t="s">
        <v>263</v>
      </c>
      <c r="E618" s="770"/>
    </row>
    <row r="619" spans="2:14" s="769" customFormat="1" ht="13.5" customHeight="1">
      <c r="B619" s="768"/>
      <c r="C619" s="769" t="s">
        <v>264</v>
      </c>
      <c r="E619" s="770"/>
    </row>
    <row r="620" spans="2:14" s="769" customFormat="1">
      <c r="B620" s="768"/>
      <c r="C620" s="769" t="s">
        <v>265</v>
      </c>
      <c r="E620" s="770"/>
    </row>
    <row r="621" spans="2:14" s="769" customFormat="1">
      <c r="B621" s="768"/>
      <c r="C621" s="769" t="s">
        <v>266</v>
      </c>
      <c r="E621" s="770"/>
    </row>
    <row r="622" spans="2:14" s="769" customFormat="1">
      <c r="B622" s="768"/>
      <c r="C622" s="769" t="s">
        <v>267</v>
      </c>
      <c r="E622" s="770"/>
    </row>
    <row r="623" spans="2:14" s="769" customFormat="1">
      <c r="B623" s="768"/>
      <c r="C623" s="769" t="s">
        <v>268</v>
      </c>
      <c r="E623" s="770"/>
    </row>
    <row r="624" spans="2:14" s="769" customFormat="1">
      <c r="B624" s="768"/>
      <c r="C624" s="769" t="s">
        <v>269</v>
      </c>
      <c r="E624" s="770"/>
    </row>
    <row r="625" spans="2:5" s="769" customFormat="1">
      <c r="B625" s="768"/>
      <c r="C625" s="769" t="s">
        <v>270</v>
      </c>
      <c r="E625" s="770"/>
    </row>
    <row r="626" spans="2:5" s="769" customFormat="1">
      <c r="B626" s="768"/>
      <c r="C626" s="769" t="s">
        <v>271</v>
      </c>
      <c r="E626" s="770"/>
    </row>
    <row r="627" spans="2:5" s="769" customFormat="1">
      <c r="B627" s="768"/>
      <c r="C627" s="769" t="s">
        <v>272</v>
      </c>
      <c r="E627" s="770"/>
    </row>
    <row r="628" spans="2:5" s="769" customFormat="1">
      <c r="B628" s="768"/>
      <c r="C628" s="769" t="s">
        <v>273</v>
      </c>
      <c r="E628" s="770"/>
    </row>
    <row r="629" spans="2:5" s="769" customFormat="1">
      <c r="B629" s="768"/>
      <c r="C629" s="769" t="s">
        <v>274</v>
      </c>
      <c r="E629" s="770"/>
    </row>
    <row r="630" spans="2:5" s="769" customFormat="1">
      <c r="B630" s="768"/>
      <c r="C630" s="769" t="s">
        <v>275</v>
      </c>
      <c r="E630" s="770"/>
    </row>
    <row r="631" spans="2:5" s="769" customFormat="1">
      <c r="B631" s="768"/>
      <c r="C631" s="769" t="s">
        <v>276</v>
      </c>
      <c r="E631" s="770"/>
    </row>
    <row r="632" spans="2:5" s="769" customFormat="1">
      <c r="B632" s="768"/>
      <c r="C632" s="769" t="s">
        <v>277</v>
      </c>
      <c r="E632" s="770"/>
    </row>
    <row r="633" spans="2:5" s="769" customFormat="1">
      <c r="B633" s="768"/>
      <c r="C633" s="769" t="s">
        <v>278</v>
      </c>
      <c r="E633" s="770"/>
    </row>
    <row r="634" spans="2:5" s="769" customFormat="1">
      <c r="B634" s="768"/>
      <c r="C634" s="769" t="s">
        <v>279</v>
      </c>
      <c r="E634" s="770"/>
    </row>
    <row r="635" spans="2:5" s="769" customFormat="1">
      <c r="B635" s="768"/>
      <c r="C635" s="769" t="s">
        <v>280</v>
      </c>
      <c r="E635" s="770"/>
    </row>
    <row r="636" spans="2:5" s="769" customFormat="1">
      <c r="B636" s="768"/>
      <c r="C636" s="769" t="s">
        <v>281</v>
      </c>
      <c r="E636" s="770"/>
    </row>
    <row r="637" spans="2:5" s="769" customFormat="1">
      <c r="B637" s="768"/>
      <c r="C637" s="769" t="s">
        <v>282</v>
      </c>
      <c r="E637" s="770"/>
    </row>
    <row r="638" spans="2:5" s="769" customFormat="1">
      <c r="B638" s="768"/>
      <c r="C638" s="769" t="s">
        <v>283</v>
      </c>
      <c r="E638" s="770"/>
    </row>
    <row r="639" spans="2:5" s="769" customFormat="1">
      <c r="B639" s="768"/>
      <c r="C639" s="769" t="s">
        <v>284</v>
      </c>
      <c r="E639" s="770"/>
    </row>
    <row r="640" spans="2:5" s="769" customFormat="1">
      <c r="B640" s="768"/>
      <c r="C640" s="769" t="s">
        <v>285</v>
      </c>
      <c r="E640" s="770"/>
    </row>
    <row r="641" spans="2:5" s="769" customFormat="1">
      <c r="B641" s="768"/>
      <c r="C641" s="769" t="s">
        <v>286</v>
      </c>
      <c r="E641" s="770"/>
    </row>
    <row r="642" spans="2:5" s="769" customFormat="1">
      <c r="B642" s="768"/>
      <c r="C642" s="769" t="s">
        <v>287</v>
      </c>
      <c r="E642" s="770"/>
    </row>
    <row r="643" spans="2:5" s="769" customFormat="1">
      <c r="B643" s="768"/>
      <c r="C643" s="769" t="s">
        <v>288</v>
      </c>
      <c r="E643" s="770"/>
    </row>
    <row r="644" spans="2:5" s="769" customFormat="1">
      <c r="B644" s="768"/>
      <c r="C644" s="769" t="s">
        <v>289</v>
      </c>
      <c r="E644" s="770"/>
    </row>
    <row r="645" spans="2:5" s="769" customFormat="1">
      <c r="B645" s="768"/>
      <c r="C645" s="769" t="s">
        <v>290</v>
      </c>
      <c r="E645" s="770"/>
    </row>
    <row r="646" spans="2:5" s="769" customFormat="1">
      <c r="B646" s="768"/>
      <c r="C646" s="769" t="s">
        <v>291</v>
      </c>
      <c r="E646" s="770"/>
    </row>
    <row r="647" spans="2:5" s="769" customFormat="1">
      <c r="B647" s="768"/>
      <c r="C647" s="769" t="s">
        <v>292</v>
      </c>
      <c r="E647" s="770"/>
    </row>
    <row r="648" spans="2:5" s="769" customFormat="1">
      <c r="B648" s="768"/>
      <c r="C648" s="769" t="s">
        <v>293</v>
      </c>
      <c r="E648" s="770"/>
    </row>
    <row r="649" spans="2:5" s="769" customFormat="1">
      <c r="B649" s="768"/>
      <c r="C649" s="769" t="s">
        <v>294</v>
      </c>
      <c r="E649" s="770"/>
    </row>
    <row r="650" spans="2:5" s="769" customFormat="1">
      <c r="B650" s="768"/>
      <c r="C650" s="769" t="s">
        <v>295</v>
      </c>
      <c r="E650" s="770"/>
    </row>
    <row r="651" spans="2:5" s="769" customFormat="1">
      <c r="B651" s="768"/>
      <c r="C651" s="769" t="s">
        <v>296</v>
      </c>
      <c r="E651" s="770"/>
    </row>
    <row r="652" spans="2:5" s="769" customFormat="1">
      <c r="B652" s="768"/>
      <c r="C652" s="769" t="s">
        <v>297</v>
      </c>
      <c r="E652" s="770"/>
    </row>
    <row r="653" spans="2:5" s="769" customFormat="1">
      <c r="B653" s="768"/>
      <c r="C653" s="769" t="s">
        <v>298</v>
      </c>
      <c r="E653" s="770"/>
    </row>
    <row r="654" spans="2:5" s="769" customFormat="1">
      <c r="B654" s="768"/>
      <c r="C654" s="769" t="s">
        <v>299</v>
      </c>
      <c r="E654" s="770"/>
    </row>
    <row r="655" spans="2:5" s="769" customFormat="1">
      <c r="B655" s="768"/>
      <c r="C655" s="769" t="s">
        <v>300</v>
      </c>
      <c r="E655" s="770"/>
    </row>
    <row r="656" spans="2:5" s="769" customFormat="1">
      <c r="B656" s="768"/>
      <c r="C656" s="769" t="s">
        <v>301</v>
      </c>
      <c r="E656" s="770"/>
    </row>
    <row r="657" spans="2:5" s="769" customFormat="1">
      <c r="B657" s="768"/>
      <c r="C657" s="769" t="s">
        <v>302</v>
      </c>
      <c r="E657" s="770"/>
    </row>
    <row r="658" spans="2:5" s="769" customFormat="1">
      <c r="B658" s="768"/>
      <c r="C658" s="769" t="s">
        <v>303</v>
      </c>
      <c r="E658" s="770"/>
    </row>
    <row r="659" spans="2:5" s="769" customFormat="1">
      <c r="B659" s="768"/>
      <c r="C659" s="769" t="s">
        <v>304</v>
      </c>
      <c r="E659" s="770"/>
    </row>
    <row r="660" spans="2:5" s="769" customFormat="1">
      <c r="B660" s="768"/>
      <c r="C660" s="769" t="s">
        <v>305</v>
      </c>
      <c r="E660" s="770"/>
    </row>
    <row r="661" spans="2:5" s="769" customFormat="1">
      <c r="B661" s="768"/>
      <c r="C661" s="769" t="s">
        <v>306</v>
      </c>
      <c r="E661" s="770"/>
    </row>
    <row r="662" spans="2:5" s="769" customFormat="1">
      <c r="B662" s="768"/>
      <c r="C662" s="769" t="s">
        <v>307</v>
      </c>
      <c r="E662" s="770"/>
    </row>
    <row r="663" spans="2:5" s="769" customFormat="1">
      <c r="B663" s="768"/>
      <c r="C663" s="769" t="s">
        <v>308</v>
      </c>
      <c r="E663" s="770"/>
    </row>
    <row r="664" spans="2:5" s="769" customFormat="1">
      <c r="B664" s="768"/>
      <c r="C664" s="769" t="s">
        <v>309</v>
      </c>
      <c r="E664" s="770"/>
    </row>
    <row r="665" spans="2:5" s="769" customFormat="1">
      <c r="B665" s="768"/>
      <c r="C665" s="769" t="s">
        <v>310</v>
      </c>
      <c r="E665" s="770"/>
    </row>
    <row r="666" spans="2:5" s="769" customFormat="1">
      <c r="B666" s="768"/>
      <c r="C666" s="769" t="s">
        <v>311</v>
      </c>
      <c r="E666" s="770"/>
    </row>
    <row r="667" spans="2:5" s="769" customFormat="1">
      <c r="B667" s="768"/>
      <c r="C667" s="769" t="s">
        <v>312</v>
      </c>
      <c r="E667" s="770"/>
    </row>
    <row r="668" spans="2:5" s="769" customFormat="1">
      <c r="B668" s="768"/>
      <c r="C668" s="769" t="s">
        <v>313</v>
      </c>
      <c r="E668" s="770"/>
    </row>
    <row r="669" spans="2:5" s="769" customFormat="1">
      <c r="B669" s="768"/>
      <c r="C669" s="769" t="s">
        <v>314</v>
      </c>
      <c r="E669" s="770"/>
    </row>
    <row r="670" spans="2:5" s="769" customFormat="1">
      <c r="B670" s="768"/>
      <c r="C670" s="769" t="s">
        <v>315</v>
      </c>
      <c r="E670" s="770"/>
    </row>
    <row r="671" spans="2:5" s="769" customFormat="1">
      <c r="B671" s="768"/>
      <c r="C671" s="769" t="s">
        <v>316</v>
      </c>
      <c r="E671" s="770"/>
    </row>
    <row r="672" spans="2:5" s="769" customFormat="1">
      <c r="B672" s="768"/>
      <c r="C672" s="769" t="s">
        <v>317</v>
      </c>
      <c r="E672" s="770"/>
    </row>
    <row r="673" spans="2:5" s="769" customFormat="1">
      <c r="B673" s="768"/>
      <c r="C673" s="769" t="s">
        <v>318</v>
      </c>
      <c r="E673" s="770"/>
    </row>
    <row r="674" spans="2:5" s="769" customFormat="1">
      <c r="B674" s="768"/>
      <c r="C674" s="769" t="s">
        <v>319</v>
      </c>
      <c r="E674" s="770"/>
    </row>
    <row r="675" spans="2:5" s="769" customFormat="1">
      <c r="B675" s="768"/>
      <c r="C675" s="769" t="s">
        <v>320</v>
      </c>
      <c r="E675" s="770"/>
    </row>
    <row r="676" spans="2:5" s="769" customFormat="1">
      <c r="B676" s="768"/>
      <c r="C676" s="769" t="s">
        <v>321</v>
      </c>
      <c r="E676" s="770"/>
    </row>
    <row r="677" spans="2:5" s="769" customFormat="1">
      <c r="B677" s="768"/>
      <c r="C677" s="769" t="s">
        <v>322</v>
      </c>
      <c r="E677" s="770"/>
    </row>
    <row r="678" spans="2:5" s="769" customFormat="1" hidden="1">
      <c r="B678" s="768"/>
      <c r="C678" s="769" t="s">
        <v>323</v>
      </c>
      <c r="E678" s="770"/>
    </row>
    <row r="679" spans="2:5" s="769" customFormat="1" hidden="1">
      <c r="B679" s="768"/>
      <c r="C679" s="769" t="s">
        <v>324</v>
      </c>
      <c r="E679" s="770"/>
    </row>
    <row r="680" spans="2:5" s="769" customFormat="1" hidden="1">
      <c r="B680" s="768"/>
      <c r="C680" s="769" t="s">
        <v>325</v>
      </c>
      <c r="E680" s="770"/>
    </row>
    <row r="681" spans="2:5" s="769" customFormat="1" hidden="1">
      <c r="B681" s="768"/>
      <c r="C681" s="769" t="s">
        <v>326</v>
      </c>
      <c r="E681" s="770"/>
    </row>
    <row r="682" spans="2:5" s="769" customFormat="1" hidden="1">
      <c r="B682" s="768"/>
      <c r="C682" s="769" t="s">
        <v>327</v>
      </c>
      <c r="E682" s="770"/>
    </row>
    <row r="683" spans="2:5" s="769" customFormat="1" hidden="1">
      <c r="B683" s="768"/>
      <c r="C683" s="769" t="s">
        <v>328</v>
      </c>
      <c r="E683" s="770"/>
    </row>
    <row r="684" spans="2:5" s="769" customFormat="1" hidden="1">
      <c r="B684" s="768"/>
      <c r="C684" s="769" t="s">
        <v>329</v>
      </c>
      <c r="E684" s="770"/>
    </row>
    <row r="685" spans="2:5" s="769" customFormat="1" hidden="1">
      <c r="B685" s="768"/>
      <c r="C685" s="769" t="s">
        <v>330</v>
      </c>
      <c r="E685" s="770"/>
    </row>
    <row r="686" spans="2:5" s="769" customFormat="1" hidden="1">
      <c r="B686" s="768"/>
      <c r="C686" s="769" t="s">
        <v>331</v>
      </c>
      <c r="E686" s="770"/>
    </row>
    <row r="687" spans="2:5" s="769" customFormat="1" hidden="1">
      <c r="B687" s="768"/>
      <c r="C687" s="769" t="s">
        <v>332</v>
      </c>
      <c r="E687" s="770"/>
    </row>
    <row r="688" spans="2:5" s="769" customFormat="1" hidden="1">
      <c r="B688" s="768"/>
      <c r="C688" s="769" t="s">
        <v>333</v>
      </c>
      <c r="E688" s="770"/>
    </row>
    <row r="689" spans="2:5" s="769" customFormat="1" hidden="1">
      <c r="B689" s="768"/>
      <c r="C689" s="769" t="s">
        <v>334</v>
      </c>
      <c r="E689" s="770"/>
    </row>
    <row r="690" spans="2:5" s="769" customFormat="1" hidden="1">
      <c r="B690" s="768"/>
      <c r="C690" s="769" t="s">
        <v>335</v>
      </c>
      <c r="E690" s="770"/>
    </row>
    <row r="691" spans="2:5" s="769" customFormat="1" hidden="1">
      <c r="B691" s="768"/>
      <c r="C691" s="769" t="s">
        <v>336</v>
      </c>
      <c r="E691" s="770"/>
    </row>
    <row r="692" spans="2:5" s="769" customFormat="1" hidden="1">
      <c r="B692" s="768"/>
      <c r="C692" s="769" t="s">
        <v>337</v>
      </c>
      <c r="E692" s="770"/>
    </row>
    <row r="693" spans="2:5" s="769" customFormat="1" hidden="1">
      <c r="B693" s="768"/>
      <c r="C693" s="769" t="s">
        <v>338</v>
      </c>
      <c r="E693" s="770"/>
    </row>
    <row r="694" spans="2:5" s="769" customFormat="1" hidden="1">
      <c r="B694" s="768"/>
      <c r="C694" s="769" t="s">
        <v>339</v>
      </c>
      <c r="E694" s="770"/>
    </row>
    <row r="695" spans="2:5" s="769" customFormat="1" hidden="1">
      <c r="B695" s="768"/>
      <c r="C695" s="769" t="s">
        <v>340</v>
      </c>
      <c r="E695" s="770"/>
    </row>
    <row r="696" spans="2:5" s="769" customFormat="1" hidden="1">
      <c r="B696" s="768"/>
      <c r="C696" s="769" t="s">
        <v>341</v>
      </c>
      <c r="E696" s="770"/>
    </row>
    <row r="697" spans="2:5" s="769" customFormat="1" hidden="1">
      <c r="B697" s="768"/>
      <c r="C697" s="769" t="s">
        <v>342</v>
      </c>
      <c r="E697" s="770"/>
    </row>
    <row r="698" spans="2:5" s="769" customFormat="1" hidden="1">
      <c r="B698" s="768"/>
      <c r="C698" s="769" t="s">
        <v>343</v>
      </c>
      <c r="E698" s="770"/>
    </row>
    <row r="699" spans="2:5" s="769" customFormat="1" hidden="1">
      <c r="B699" s="768"/>
      <c r="C699" s="769" t="s">
        <v>344</v>
      </c>
      <c r="E699" s="770"/>
    </row>
    <row r="700" spans="2:5" s="769" customFormat="1" hidden="1">
      <c r="B700" s="768"/>
      <c r="C700" s="769" t="s">
        <v>345</v>
      </c>
      <c r="E700" s="770"/>
    </row>
    <row r="701" spans="2:5" s="769" customFormat="1" hidden="1">
      <c r="B701" s="768"/>
      <c r="C701" s="769" t="s">
        <v>346</v>
      </c>
      <c r="E701" s="770"/>
    </row>
    <row r="702" spans="2:5" s="769" customFormat="1" hidden="1">
      <c r="B702" s="768"/>
      <c r="C702" s="769" t="s">
        <v>347</v>
      </c>
      <c r="E702" s="770"/>
    </row>
    <row r="703" spans="2:5" s="769" customFormat="1" hidden="1">
      <c r="B703" s="768"/>
      <c r="C703" s="769" t="s">
        <v>348</v>
      </c>
      <c r="E703" s="770"/>
    </row>
    <row r="704" spans="2:5" s="769" customFormat="1" hidden="1">
      <c r="B704" s="768"/>
      <c r="C704" s="769" t="s">
        <v>349</v>
      </c>
      <c r="E704" s="770"/>
    </row>
    <row r="705" spans="2:5" s="769" customFormat="1" hidden="1">
      <c r="B705" s="768"/>
      <c r="C705" s="769" t="s">
        <v>350</v>
      </c>
      <c r="E705" s="770"/>
    </row>
    <row r="706" spans="2:5" s="769" customFormat="1" hidden="1">
      <c r="B706" s="768"/>
      <c r="C706" s="769" t="s">
        <v>351</v>
      </c>
      <c r="E706" s="770"/>
    </row>
    <row r="707" spans="2:5" s="769" customFormat="1" hidden="1">
      <c r="B707" s="768"/>
      <c r="C707" s="769" t="s">
        <v>352</v>
      </c>
      <c r="E707" s="770"/>
    </row>
    <row r="708" spans="2:5" s="769" customFormat="1" hidden="1">
      <c r="B708" s="768"/>
      <c r="C708" s="769" t="s">
        <v>353</v>
      </c>
      <c r="E708" s="770"/>
    </row>
    <row r="709" spans="2:5" s="769" customFormat="1" hidden="1">
      <c r="B709" s="768"/>
      <c r="C709" s="769" t="s">
        <v>354</v>
      </c>
      <c r="E709" s="770"/>
    </row>
    <row r="710" spans="2:5" s="769" customFormat="1" hidden="1">
      <c r="B710" s="768"/>
      <c r="C710" s="769" t="s">
        <v>355</v>
      </c>
      <c r="E710" s="770"/>
    </row>
    <row r="711" spans="2:5" s="769" customFormat="1" hidden="1">
      <c r="B711" s="768"/>
      <c r="C711" s="769" t="s">
        <v>356</v>
      </c>
      <c r="E711" s="770"/>
    </row>
    <row r="712" spans="2:5" s="769" customFormat="1" hidden="1">
      <c r="B712" s="768"/>
      <c r="C712" s="769" t="s">
        <v>357</v>
      </c>
      <c r="E712" s="770"/>
    </row>
    <row r="713" spans="2:5" s="769" customFormat="1" hidden="1">
      <c r="B713" s="768"/>
      <c r="C713" s="769" t="s">
        <v>358</v>
      </c>
      <c r="E713" s="770"/>
    </row>
    <row r="714" spans="2:5" s="769" customFormat="1" hidden="1">
      <c r="B714" s="768"/>
      <c r="C714" s="769" t="s">
        <v>359</v>
      </c>
      <c r="E714" s="770"/>
    </row>
    <row r="715" spans="2:5" s="769" customFormat="1" hidden="1">
      <c r="B715" s="768"/>
      <c r="C715" s="769" t="s">
        <v>360</v>
      </c>
      <c r="E715" s="770"/>
    </row>
    <row r="716" spans="2:5" s="769" customFormat="1" hidden="1">
      <c r="B716" s="768"/>
      <c r="C716" s="769" t="s">
        <v>361</v>
      </c>
      <c r="E716" s="770"/>
    </row>
    <row r="717" spans="2:5" s="769" customFormat="1" hidden="1">
      <c r="B717" s="768"/>
      <c r="C717" s="769" t="s">
        <v>362</v>
      </c>
      <c r="E717" s="770"/>
    </row>
    <row r="718" spans="2:5" s="769" customFormat="1" hidden="1">
      <c r="B718" s="768"/>
      <c r="C718" s="769" t="s">
        <v>363</v>
      </c>
      <c r="E718" s="770"/>
    </row>
    <row r="719" spans="2:5" s="769" customFormat="1" hidden="1">
      <c r="B719" s="768"/>
      <c r="C719" s="769" t="s">
        <v>364</v>
      </c>
      <c r="E719" s="770"/>
    </row>
    <row r="720" spans="2:5" s="769" customFormat="1" hidden="1">
      <c r="B720" s="768"/>
      <c r="C720" s="769" t="s">
        <v>365</v>
      </c>
      <c r="E720" s="770"/>
    </row>
    <row r="721" spans="2:5" s="769" customFormat="1" hidden="1">
      <c r="B721" s="768"/>
      <c r="C721" s="769" t="s">
        <v>366</v>
      </c>
      <c r="E721" s="770"/>
    </row>
    <row r="722" spans="2:5" s="769" customFormat="1" hidden="1">
      <c r="B722" s="768"/>
      <c r="C722" s="769" t="s">
        <v>367</v>
      </c>
      <c r="E722" s="770"/>
    </row>
    <row r="723" spans="2:5" s="769" customFormat="1" hidden="1">
      <c r="B723" s="768"/>
      <c r="C723" s="769" t="s">
        <v>368</v>
      </c>
      <c r="E723" s="770"/>
    </row>
    <row r="724" spans="2:5" s="769" customFormat="1" hidden="1">
      <c r="B724" s="768"/>
      <c r="C724" s="769" t="s">
        <v>369</v>
      </c>
      <c r="E724" s="770"/>
    </row>
    <row r="725" spans="2:5" s="769" customFormat="1" hidden="1">
      <c r="B725" s="768"/>
      <c r="C725" s="769" t="s">
        <v>370</v>
      </c>
      <c r="E725" s="770"/>
    </row>
    <row r="726" spans="2:5" s="769" customFormat="1" hidden="1">
      <c r="B726" s="768"/>
      <c r="C726" s="769" t="s">
        <v>371</v>
      </c>
      <c r="E726" s="770"/>
    </row>
    <row r="727" spans="2:5" s="769" customFormat="1" hidden="1">
      <c r="B727" s="768"/>
      <c r="C727" s="769" t="s">
        <v>372</v>
      </c>
      <c r="E727" s="770"/>
    </row>
    <row r="728" spans="2:5" s="769" customFormat="1" hidden="1">
      <c r="B728" s="768"/>
      <c r="C728" s="769" t="s">
        <v>373</v>
      </c>
      <c r="E728" s="770"/>
    </row>
    <row r="729" spans="2:5" s="769" customFormat="1" hidden="1">
      <c r="B729" s="768"/>
      <c r="C729" s="769" t="s">
        <v>374</v>
      </c>
      <c r="E729" s="770"/>
    </row>
    <row r="730" spans="2:5" s="769" customFormat="1" hidden="1">
      <c r="B730" s="768"/>
      <c r="C730" s="769" t="s">
        <v>375</v>
      </c>
      <c r="E730" s="770"/>
    </row>
    <row r="731" spans="2:5" s="769" customFormat="1" hidden="1">
      <c r="B731" s="768"/>
      <c r="C731" s="769" t="s">
        <v>376</v>
      </c>
      <c r="E731" s="770"/>
    </row>
    <row r="732" spans="2:5" s="769" customFormat="1" hidden="1">
      <c r="B732" s="768"/>
      <c r="C732" s="769" t="s">
        <v>377</v>
      </c>
      <c r="E732" s="770"/>
    </row>
    <row r="733" spans="2:5" s="769" customFormat="1" hidden="1">
      <c r="B733" s="768"/>
      <c r="C733" s="769" t="s">
        <v>378</v>
      </c>
      <c r="E733" s="770"/>
    </row>
    <row r="734" spans="2:5" s="769" customFormat="1" hidden="1">
      <c r="B734" s="768"/>
      <c r="C734" s="769" t="s">
        <v>379</v>
      </c>
      <c r="E734" s="770"/>
    </row>
    <row r="735" spans="2:5" s="769" customFormat="1" hidden="1">
      <c r="B735" s="768"/>
      <c r="C735" s="769" t="s">
        <v>380</v>
      </c>
      <c r="E735" s="770"/>
    </row>
    <row r="736" spans="2:5" s="769" customFormat="1" hidden="1">
      <c r="B736" s="768"/>
      <c r="C736" s="769" t="s">
        <v>296</v>
      </c>
      <c r="E736" s="770"/>
    </row>
    <row r="737" spans="2:5" s="769" customFormat="1" hidden="1">
      <c r="B737" s="768"/>
      <c r="C737" s="769" t="s">
        <v>381</v>
      </c>
      <c r="E737" s="770"/>
    </row>
    <row r="738" spans="2:5" s="769" customFormat="1" hidden="1">
      <c r="B738" s="768"/>
      <c r="C738" s="769" t="s">
        <v>382</v>
      </c>
      <c r="E738" s="770"/>
    </row>
    <row r="739" spans="2:5" s="769" customFormat="1" hidden="1">
      <c r="B739" s="768"/>
      <c r="C739" s="769" t="s">
        <v>383</v>
      </c>
      <c r="E739" s="770"/>
    </row>
    <row r="740" spans="2:5" s="769" customFormat="1" hidden="1">
      <c r="B740" s="768"/>
      <c r="C740" s="769" t="s">
        <v>384</v>
      </c>
      <c r="E740" s="770"/>
    </row>
    <row r="741" spans="2:5" s="769" customFormat="1" hidden="1">
      <c r="B741" s="768"/>
      <c r="C741" s="769" t="s">
        <v>385</v>
      </c>
      <c r="E741" s="770"/>
    </row>
    <row r="742" spans="2:5" s="769" customFormat="1" hidden="1">
      <c r="B742" s="768"/>
      <c r="C742" s="769" t="s">
        <v>386</v>
      </c>
      <c r="E742" s="770"/>
    </row>
    <row r="743" spans="2:5" s="769" customFormat="1" hidden="1">
      <c r="B743" s="768"/>
      <c r="C743" s="769" t="s">
        <v>387</v>
      </c>
      <c r="E743" s="770"/>
    </row>
    <row r="744" spans="2:5" s="769" customFormat="1" hidden="1">
      <c r="B744" s="768"/>
      <c r="C744" s="769" t="s">
        <v>388</v>
      </c>
      <c r="E744" s="770"/>
    </row>
    <row r="745" spans="2:5" s="769" customFormat="1" hidden="1">
      <c r="B745" s="768"/>
      <c r="C745" s="769" t="s">
        <v>389</v>
      </c>
      <c r="E745" s="770"/>
    </row>
    <row r="746" spans="2:5" s="769" customFormat="1" hidden="1">
      <c r="B746" s="768"/>
      <c r="C746" s="769" t="s">
        <v>390</v>
      </c>
      <c r="E746" s="770"/>
    </row>
    <row r="747" spans="2:5" s="769" customFormat="1" hidden="1">
      <c r="B747" s="768"/>
      <c r="C747" s="769" t="s">
        <v>391</v>
      </c>
      <c r="E747" s="770"/>
    </row>
    <row r="748" spans="2:5" s="769" customFormat="1" hidden="1">
      <c r="B748" s="768"/>
      <c r="C748" s="769" t="s">
        <v>392</v>
      </c>
      <c r="E748" s="770"/>
    </row>
    <row r="749" spans="2:5" s="769" customFormat="1" hidden="1">
      <c r="B749" s="768"/>
      <c r="C749" s="769" t="s">
        <v>393</v>
      </c>
      <c r="E749" s="770"/>
    </row>
    <row r="750" spans="2:5" s="769" customFormat="1" hidden="1">
      <c r="B750" s="768"/>
      <c r="C750" s="769" t="s">
        <v>394</v>
      </c>
      <c r="E750" s="770"/>
    </row>
    <row r="751" spans="2:5" s="769" customFormat="1" hidden="1">
      <c r="B751" s="768"/>
      <c r="C751" s="769" t="s">
        <v>395</v>
      </c>
      <c r="E751" s="770"/>
    </row>
    <row r="752" spans="2:5" s="769" customFormat="1" hidden="1">
      <c r="B752" s="768"/>
      <c r="C752" s="769" t="s">
        <v>396</v>
      </c>
      <c r="E752" s="770"/>
    </row>
    <row r="753" spans="2:5" s="769" customFormat="1" hidden="1">
      <c r="B753" s="768"/>
      <c r="C753" s="769" t="s">
        <v>397</v>
      </c>
      <c r="E753" s="770"/>
    </row>
    <row r="754" spans="2:5" s="769" customFormat="1" hidden="1">
      <c r="B754" s="768"/>
      <c r="C754" s="769" t="s">
        <v>398</v>
      </c>
      <c r="E754" s="770"/>
    </row>
    <row r="755" spans="2:5" s="769" customFormat="1" hidden="1">
      <c r="B755" s="768"/>
      <c r="C755" s="769" t="s">
        <v>399</v>
      </c>
      <c r="E755" s="770"/>
    </row>
    <row r="756" spans="2:5" s="769" customFormat="1" hidden="1">
      <c r="B756" s="768"/>
      <c r="C756" s="769" t="s">
        <v>400</v>
      </c>
      <c r="E756" s="770"/>
    </row>
    <row r="757" spans="2:5" s="769" customFormat="1" hidden="1">
      <c r="B757" s="768"/>
      <c r="C757" s="769" t="s">
        <v>401</v>
      </c>
      <c r="E757" s="770"/>
    </row>
    <row r="758" spans="2:5" s="769" customFormat="1" hidden="1">
      <c r="B758" s="768"/>
      <c r="C758" s="769" t="s">
        <v>402</v>
      </c>
      <c r="E758" s="770"/>
    </row>
    <row r="759" spans="2:5" s="769" customFormat="1" hidden="1">
      <c r="B759" s="768"/>
      <c r="C759" s="769" t="s">
        <v>403</v>
      </c>
      <c r="E759" s="770"/>
    </row>
    <row r="760" spans="2:5" s="769" customFormat="1" hidden="1">
      <c r="B760" s="768"/>
      <c r="C760" s="769" t="s">
        <v>404</v>
      </c>
      <c r="E760" s="770"/>
    </row>
    <row r="761" spans="2:5" s="769" customFormat="1" hidden="1">
      <c r="B761" s="768"/>
      <c r="C761" s="769" t="s">
        <v>405</v>
      </c>
      <c r="E761" s="770"/>
    </row>
    <row r="762" spans="2:5" hidden="1"/>
    <row r="763" spans="2:5" hidden="1"/>
    <row r="764" spans="2:5" hidden="1"/>
    <row r="765" spans="2:5" hidden="1"/>
    <row r="766" spans="2:5" hidden="1"/>
    <row r="767" spans="2:5" hidden="1"/>
    <row r="768" spans="2:5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</sheetData>
  <sheetProtection password="CADB" sheet="1" objects="1" scenarios="1"/>
  <dataConsolidate/>
  <mergeCells count="1">
    <mergeCell ref="C5:N5"/>
  </mergeCells>
  <phoneticPr fontId="0" type="noConversion"/>
  <printOptions horizontalCentered="1"/>
  <pageMargins left="0.34" right="0.2" top="0.74803149606299213" bottom="0.91" header="0.39370078740157483" footer="0.51181102362204722"/>
  <pageSetup paperSize="9" scale="75" orientation="portrait" blackAndWhite="1" r:id="rId1"/>
  <headerFooter alignWithMargins="0">
    <oddFooter>&amp;R&amp;F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B1:S475"/>
  <sheetViews>
    <sheetView showGridLines="0" workbookViewId="0">
      <pane ySplit="9" topLeftCell="A10" activePane="bottomLeft" state="frozenSplit"/>
      <selection activeCell="C6" sqref="C6:Q6"/>
      <selection pane="bottomLeft" activeCell="A10" sqref="A10"/>
    </sheetView>
  </sheetViews>
  <sheetFormatPr defaultRowHeight="12.75"/>
  <cols>
    <col min="1" max="1" width="1.5703125" style="447" customWidth="1"/>
    <col min="2" max="2" width="3.28515625" style="468" customWidth="1"/>
    <col min="3" max="3" width="36" style="469" customWidth="1"/>
    <col min="4" max="4" width="6.85546875" style="447" customWidth="1"/>
    <col min="5" max="5" width="9.5703125" style="470" customWidth="1"/>
    <col min="6" max="6" width="11.140625" style="447" customWidth="1"/>
    <col min="7" max="7" width="1.85546875" style="447" customWidth="1"/>
    <col min="8" max="8" width="11.28515625" style="447" customWidth="1"/>
    <col min="9" max="9" width="1.85546875" style="447" customWidth="1"/>
    <col min="10" max="10" width="9" style="447" customWidth="1"/>
    <col min="11" max="11" width="11.5703125" style="447" bestFit="1" customWidth="1"/>
    <col min="12" max="12" width="1.85546875" style="447" customWidth="1"/>
    <col min="13" max="13" width="14" style="447" customWidth="1"/>
    <col min="14" max="14" width="1.85546875" style="447" customWidth="1"/>
    <col min="15" max="15" width="12.85546875" style="447" customWidth="1"/>
    <col min="16" max="16" width="1.7109375" style="447" customWidth="1"/>
    <col min="17" max="17" width="9.85546875" style="447" customWidth="1"/>
    <col min="18" max="18" width="1.7109375" style="447" customWidth="1"/>
    <col min="19" max="19" width="11.42578125" style="447" customWidth="1"/>
    <col min="20" max="16384" width="9.140625" style="447"/>
  </cols>
  <sheetData>
    <row r="1" spans="2:19" ht="9" customHeight="1"/>
    <row r="2" spans="2:19" ht="31.5" customHeight="1">
      <c r="C2" s="861" t="s">
        <v>181</v>
      </c>
      <c r="E2" s="447"/>
    </row>
    <row r="3" spans="2:19" ht="5.25" customHeight="1"/>
    <row r="4" spans="2:19" ht="16.5" customHeight="1" thickBot="1">
      <c r="C4" s="493"/>
      <c r="D4" s="494"/>
      <c r="E4" s="494"/>
      <c r="F4" s="494"/>
      <c r="G4" s="494"/>
      <c r="H4" s="494" t="s">
        <v>15</v>
      </c>
      <c r="I4" s="494"/>
      <c r="J4" s="494"/>
      <c r="K4" s="494"/>
      <c r="L4" s="494"/>
      <c r="M4" s="494"/>
      <c r="N4" s="494"/>
      <c r="O4" s="494"/>
      <c r="P4" s="495"/>
      <c r="Q4" s="495"/>
      <c r="R4" s="495"/>
      <c r="S4" s="496"/>
    </row>
    <row r="5" spans="2:19" ht="9" customHeight="1">
      <c r="D5" s="471"/>
    </row>
    <row r="6" spans="2:19" s="472" customFormat="1" ht="25.5" customHeight="1" thickBot="1">
      <c r="B6" s="468"/>
      <c r="C6" s="486" t="s">
        <v>88</v>
      </c>
      <c r="D6" s="487" t="s">
        <v>107</v>
      </c>
      <c r="E6" s="488" t="s">
        <v>66</v>
      </c>
      <c r="F6" s="487" t="s">
        <v>196</v>
      </c>
      <c r="G6" s="489"/>
      <c r="H6" s="487" t="s">
        <v>130</v>
      </c>
      <c r="I6" s="489"/>
      <c r="J6" s="487" t="s">
        <v>506</v>
      </c>
      <c r="K6" s="487" t="s">
        <v>185</v>
      </c>
      <c r="L6" s="490"/>
      <c r="M6" s="487" t="s">
        <v>106</v>
      </c>
      <c r="N6" s="489"/>
      <c r="O6" s="487" t="s">
        <v>105</v>
      </c>
      <c r="P6" s="491"/>
      <c r="Q6" s="487" t="s">
        <v>418</v>
      </c>
      <c r="R6" s="491"/>
      <c r="S6" s="492" t="s">
        <v>419</v>
      </c>
    </row>
    <row r="7" spans="2:19" s="472" customFormat="1" ht="9" customHeight="1">
      <c r="B7" s="468"/>
      <c r="C7" s="473"/>
      <c r="D7" s="474"/>
      <c r="E7" s="475"/>
      <c r="F7" s="474"/>
      <c r="G7" s="476"/>
      <c r="H7" s="474"/>
      <c r="I7" s="476"/>
      <c r="J7" s="474"/>
      <c r="K7" s="474"/>
      <c r="L7" s="477"/>
      <c r="M7" s="474"/>
      <c r="N7" s="476"/>
      <c r="O7" s="474"/>
      <c r="P7" s="478"/>
      <c r="Q7" s="478"/>
      <c r="R7" s="478"/>
      <c r="S7" s="474"/>
    </row>
    <row r="8" spans="2:19" s="472" customFormat="1" ht="17.25" customHeight="1" thickBot="1">
      <c r="B8" s="468"/>
      <c r="C8" s="473"/>
      <c r="D8" s="474"/>
      <c r="E8" s="475"/>
      <c r="F8" s="474"/>
      <c r="G8" s="476"/>
      <c r="H8" s="474"/>
      <c r="I8" s="476"/>
      <c r="J8" s="474"/>
      <c r="K8" s="516" t="s">
        <v>4</v>
      </c>
      <c r="L8" s="477"/>
      <c r="M8" s="515">
        <f>TRUNC((SUM(M13:M462)),2)</f>
        <v>7753.87</v>
      </c>
      <c r="N8" s="447"/>
      <c r="O8" s="515">
        <f>TRUNC((SUM(O13:O462)),2)</f>
        <v>1376.58</v>
      </c>
      <c r="P8" s="447"/>
      <c r="Q8" s="447"/>
      <c r="R8" s="447"/>
      <c r="S8" s="515">
        <f>TRUNC((SUM(S13:S462)),2)</f>
        <v>50.08</v>
      </c>
    </row>
    <row r="9" spans="2:19" s="484" customFormat="1" ht="8.25" customHeight="1">
      <c r="B9" s="468"/>
      <c r="C9" s="479"/>
      <c r="D9" s="480"/>
      <c r="E9" s="481"/>
      <c r="F9" s="480"/>
      <c r="G9" s="482"/>
      <c r="H9" s="480"/>
      <c r="I9" s="482"/>
      <c r="J9" s="480"/>
      <c r="K9" s="480"/>
      <c r="L9" s="483"/>
      <c r="M9" s="480"/>
      <c r="N9" s="482"/>
      <c r="O9" s="480"/>
      <c r="P9" s="447"/>
      <c r="Q9" s="447"/>
      <c r="R9" s="447"/>
      <c r="S9" s="480"/>
    </row>
    <row r="10" spans="2:19" s="484" customFormat="1" ht="15.75" customHeight="1">
      <c r="B10" s="468"/>
      <c r="C10" s="479"/>
      <c r="D10" s="480"/>
      <c r="E10" s="481"/>
      <c r="F10" s="480"/>
      <c r="G10" s="482"/>
      <c r="H10" s="480"/>
      <c r="I10" s="482"/>
      <c r="J10" s="480"/>
      <c r="K10" s="480"/>
      <c r="L10" s="483"/>
      <c r="M10" s="480"/>
      <c r="N10" s="482"/>
      <c r="O10" s="485"/>
      <c r="P10" s="447"/>
      <c r="Q10" s="447"/>
      <c r="R10" s="447"/>
    </row>
    <row r="11" spans="2:19" ht="5.25" customHeight="1">
      <c r="P11" s="453"/>
      <c r="Q11" s="453"/>
      <c r="R11" s="453"/>
    </row>
    <row r="12" spans="2:19" ht="5.25" customHeight="1">
      <c r="P12" s="453"/>
      <c r="Q12" s="453"/>
      <c r="R12" s="453"/>
    </row>
    <row r="13" spans="2:19">
      <c r="B13" s="468">
        <v>1</v>
      </c>
      <c r="C13" s="971" t="s">
        <v>659</v>
      </c>
      <c r="D13" s="972">
        <v>2012</v>
      </c>
      <c r="E13" s="973">
        <v>2</v>
      </c>
      <c r="F13" s="500">
        <v>283.67</v>
      </c>
      <c r="G13" s="35"/>
      <c r="H13" s="511">
        <f>IF(Consolidado_A!$G$133=7.6%,-(0.0165+0.076)*F13,0)</f>
        <v>-26.239475000000002</v>
      </c>
      <c r="I13" s="35"/>
      <c r="J13" s="505"/>
      <c r="K13" s="974">
        <v>12</v>
      </c>
      <c r="L13" s="453"/>
      <c r="M13" s="513">
        <f t="shared" ref="M13:M76" si="0">IF(E13&gt;0,(F13+H13)-J13,0)</f>
        <v>257.43052499999999</v>
      </c>
      <c r="N13" s="512"/>
      <c r="O13" s="513">
        <f t="shared" ref="O13:O76" si="1">IF(E13=0,0,(M13/K13)*E13)</f>
        <v>42.9050875</v>
      </c>
      <c r="P13" s="453"/>
      <c r="Q13" s="509">
        <v>2.5000000000000001E-3</v>
      </c>
      <c r="R13" s="453"/>
      <c r="S13" s="513">
        <f t="shared" ref="S13:S76" si="2">E13*(M13*Q13)</f>
        <v>1.2871526250000001</v>
      </c>
    </row>
    <row r="14" spans="2:19">
      <c r="B14" s="468">
        <v>2</v>
      </c>
      <c r="C14" s="971" t="s">
        <v>656</v>
      </c>
      <c r="D14" s="972">
        <v>2012</v>
      </c>
      <c r="E14" s="973">
        <v>10</v>
      </c>
      <c r="F14" s="500">
        <v>108.63</v>
      </c>
      <c r="G14" s="35"/>
      <c r="H14" s="511">
        <f>IF(Consolidado_A!$G$133=7.6%,-(0.0165+0.076)*F14,0)</f>
        <v>-10.048275</v>
      </c>
      <c r="I14" s="35"/>
      <c r="J14" s="505"/>
      <c r="K14" s="974">
        <v>12</v>
      </c>
      <c r="L14" s="453"/>
      <c r="M14" s="513">
        <f t="shared" si="0"/>
        <v>98.581724999999992</v>
      </c>
      <c r="N14" s="512"/>
      <c r="O14" s="513">
        <f t="shared" si="1"/>
        <v>82.151437499999986</v>
      </c>
      <c r="P14" s="453"/>
      <c r="Q14" s="509">
        <f t="shared" ref="Q14:Q77" si="3">Q13</f>
        <v>2.5000000000000001E-3</v>
      </c>
      <c r="R14" s="453"/>
      <c r="S14" s="513">
        <f t="shared" si="2"/>
        <v>2.4645431250000001</v>
      </c>
    </row>
    <row r="15" spans="2:19">
      <c r="B15" s="468">
        <v>3</v>
      </c>
      <c r="C15" s="971" t="s">
        <v>657</v>
      </c>
      <c r="D15" s="972">
        <v>2012</v>
      </c>
      <c r="E15" s="973">
        <v>10</v>
      </c>
      <c r="F15" s="500">
        <v>88.86</v>
      </c>
      <c r="G15" s="35"/>
      <c r="H15" s="511">
        <f>IF(Consolidado_A!$G$133=7.6%,-(0.0165+0.076)*F15,0)</f>
        <v>-8.2195499999999999</v>
      </c>
      <c r="I15" s="35"/>
      <c r="J15" s="505"/>
      <c r="K15" s="974">
        <v>12</v>
      </c>
      <c r="L15" s="453"/>
      <c r="M15" s="513">
        <f t="shared" si="0"/>
        <v>80.640450000000001</v>
      </c>
      <c r="N15" s="512"/>
      <c r="O15" s="513">
        <f t="shared" si="1"/>
        <v>67.200375000000008</v>
      </c>
      <c r="P15" s="453"/>
      <c r="Q15" s="509">
        <f t="shared" si="3"/>
        <v>2.5000000000000001E-3</v>
      </c>
      <c r="R15" s="453"/>
      <c r="S15" s="513">
        <f t="shared" si="2"/>
        <v>2.01601125</v>
      </c>
    </row>
    <row r="16" spans="2:19" ht="24">
      <c r="B16" s="468">
        <v>4</v>
      </c>
      <c r="C16" s="971" t="s">
        <v>679</v>
      </c>
      <c r="D16" s="972">
        <v>2012</v>
      </c>
      <c r="E16" s="973">
        <v>10</v>
      </c>
      <c r="F16" s="500">
        <v>14.1</v>
      </c>
      <c r="G16" s="35"/>
      <c r="H16" s="511">
        <f>IF(Consolidado_A!$G$133=7.6%,-(0.0165+0.076)*F16,0)</f>
        <v>-1.3042499999999999</v>
      </c>
      <c r="I16" s="35"/>
      <c r="J16" s="505"/>
      <c r="K16" s="974">
        <v>12</v>
      </c>
      <c r="L16" s="453"/>
      <c r="M16" s="513">
        <f t="shared" si="0"/>
        <v>12.79575</v>
      </c>
      <c r="N16" s="512"/>
      <c r="O16" s="513">
        <f t="shared" si="1"/>
        <v>10.663125000000001</v>
      </c>
      <c r="P16" s="453"/>
      <c r="Q16" s="509">
        <f t="shared" si="3"/>
        <v>2.5000000000000001E-3</v>
      </c>
      <c r="R16" s="453"/>
      <c r="S16" s="513">
        <f t="shared" si="2"/>
        <v>0.31989374999999998</v>
      </c>
    </row>
    <row r="17" spans="2:19">
      <c r="B17" s="468">
        <v>5</v>
      </c>
      <c r="C17" s="971" t="s">
        <v>680</v>
      </c>
      <c r="D17" s="972">
        <v>2012</v>
      </c>
      <c r="E17" s="973">
        <v>2</v>
      </c>
      <c r="F17" s="500">
        <v>31.2</v>
      </c>
      <c r="G17" s="35"/>
      <c r="H17" s="511">
        <f>IF(Consolidado_A!$G$133=7.6%,-(0.0165+0.076)*F17,0)</f>
        <v>-2.8860000000000001</v>
      </c>
      <c r="I17" s="35"/>
      <c r="J17" s="505"/>
      <c r="K17" s="974">
        <v>12</v>
      </c>
      <c r="L17" s="453"/>
      <c r="M17" s="513">
        <f t="shared" si="0"/>
        <v>28.314</v>
      </c>
      <c r="N17" s="512"/>
      <c r="O17" s="513">
        <f t="shared" si="1"/>
        <v>4.7190000000000003</v>
      </c>
      <c r="P17" s="453"/>
      <c r="Q17" s="509">
        <f t="shared" si="3"/>
        <v>2.5000000000000001E-3</v>
      </c>
      <c r="R17" s="453"/>
      <c r="S17" s="513">
        <f t="shared" si="2"/>
        <v>0.14157</v>
      </c>
    </row>
    <row r="18" spans="2:19">
      <c r="B18" s="468">
        <v>6</v>
      </c>
      <c r="C18" s="971" t="s">
        <v>663</v>
      </c>
      <c r="D18" s="972">
        <v>2012</v>
      </c>
      <c r="E18" s="973">
        <v>2</v>
      </c>
      <c r="F18" s="500">
        <v>23.97</v>
      </c>
      <c r="G18" s="35"/>
      <c r="H18" s="511">
        <f>IF(Consolidado_A!$G$133=7.6%,-(0.0165+0.076)*F18,0)</f>
        <v>-2.217225</v>
      </c>
      <c r="I18" s="35"/>
      <c r="J18" s="505"/>
      <c r="K18" s="974">
        <v>12</v>
      </c>
      <c r="L18" s="453"/>
      <c r="M18" s="513">
        <f t="shared" si="0"/>
        <v>21.752775</v>
      </c>
      <c r="N18" s="512"/>
      <c r="O18" s="513">
        <f t="shared" si="1"/>
        <v>3.6254624999999998</v>
      </c>
      <c r="P18" s="453"/>
      <c r="Q18" s="509">
        <f t="shared" si="3"/>
        <v>2.5000000000000001E-3</v>
      </c>
      <c r="R18" s="453"/>
      <c r="S18" s="513">
        <f t="shared" si="2"/>
        <v>0.108763875</v>
      </c>
    </row>
    <row r="19" spans="2:19">
      <c r="B19" s="468">
        <v>7</v>
      </c>
      <c r="C19" s="971" t="s">
        <v>664</v>
      </c>
      <c r="D19" s="972">
        <v>2012</v>
      </c>
      <c r="E19" s="973">
        <v>2</v>
      </c>
      <c r="F19" s="500">
        <v>58.2</v>
      </c>
      <c r="G19" s="35"/>
      <c r="H19" s="511">
        <f>IF(Consolidado_A!$G$133=7.6%,-(0.0165+0.076)*F19,0)</f>
        <v>-5.3835000000000006</v>
      </c>
      <c r="I19" s="35"/>
      <c r="J19" s="505"/>
      <c r="K19" s="974">
        <v>12</v>
      </c>
      <c r="L19" s="453"/>
      <c r="M19" s="513">
        <f t="shared" si="0"/>
        <v>52.816500000000005</v>
      </c>
      <c r="N19" s="512"/>
      <c r="O19" s="513">
        <f t="shared" si="1"/>
        <v>8.8027500000000014</v>
      </c>
      <c r="P19" s="453"/>
      <c r="Q19" s="509">
        <f t="shared" si="3"/>
        <v>2.5000000000000001E-3</v>
      </c>
      <c r="R19" s="453"/>
      <c r="S19" s="513">
        <f t="shared" si="2"/>
        <v>0.26408250000000005</v>
      </c>
    </row>
    <row r="20" spans="2:19" ht="24">
      <c r="B20" s="468">
        <v>8</v>
      </c>
      <c r="C20" s="971" t="s">
        <v>681</v>
      </c>
      <c r="D20" s="972">
        <v>2012</v>
      </c>
      <c r="E20" s="973">
        <v>2</v>
      </c>
      <c r="F20" s="500">
        <v>13.4</v>
      </c>
      <c r="G20" s="35"/>
      <c r="H20" s="511">
        <f>IF(Consolidado_A!$G$133=7.6%,-(0.0165+0.076)*F20,0)</f>
        <v>-1.2395</v>
      </c>
      <c r="I20" s="35"/>
      <c r="J20" s="505"/>
      <c r="K20" s="974">
        <v>12</v>
      </c>
      <c r="L20" s="453"/>
      <c r="M20" s="513">
        <f t="shared" si="0"/>
        <v>12.160500000000001</v>
      </c>
      <c r="N20" s="512"/>
      <c r="O20" s="513">
        <f t="shared" si="1"/>
        <v>2.0267500000000003</v>
      </c>
      <c r="P20" s="453"/>
      <c r="Q20" s="509">
        <f t="shared" si="3"/>
        <v>2.5000000000000001E-3</v>
      </c>
      <c r="R20" s="453"/>
      <c r="S20" s="513">
        <f t="shared" si="2"/>
        <v>6.0802500000000002E-2</v>
      </c>
    </row>
    <row r="21" spans="2:19" ht="24">
      <c r="B21" s="468">
        <v>9</v>
      </c>
      <c r="C21" s="971" t="s">
        <v>665</v>
      </c>
      <c r="D21" s="972">
        <v>2012</v>
      </c>
      <c r="E21" s="973">
        <v>2</v>
      </c>
      <c r="F21" s="500">
        <v>101.3</v>
      </c>
      <c r="G21" s="35"/>
      <c r="H21" s="511">
        <f>IF(Consolidado_A!$G$133=7.6%,-(0.0165+0.076)*F21,0)</f>
        <v>-9.3702500000000004</v>
      </c>
      <c r="I21" s="35"/>
      <c r="J21" s="505"/>
      <c r="K21" s="974">
        <v>12</v>
      </c>
      <c r="L21" s="453"/>
      <c r="M21" s="513">
        <f t="shared" si="0"/>
        <v>91.929749999999999</v>
      </c>
      <c r="N21" s="512"/>
      <c r="O21" s="513">
        <f t="shared" si="1"/>
        <v>15.321624999999999</v>
      </c>
      <c r="P21" s="453"/>
      <c r="Q21" s="509">
        <f t="shared" si="3"/>
        <v>2.5000000000000001E-3</v>
      </c>
      <c r="R21" s="453"/>
      <c r="S21" s="513">
        <f t="shared" si="2"/>
        <v>0.45964874999999999</v>
      </c>
    </row>
    <row r="22" spans="2:19" ht="24">
      <c r="B22" s="468">
        <v>10</v>
      </c>
      <c r="C22" s="971" t="s">
        <v>667</v>
      </c>
      <c r="D22" s="972">
        <v>2012</v>
      </c>
      <c r="E22" s="973">
        <v>2</v>
      </c>
      <c r="F22" s="500">
        <v>240</v>
      </c>
      <c r="G22" s="35"/>
      <c r="H22" s="511">
        <f>IF(Consolidado_A!$G$133=7.6%,-(0.0165+0.076)*F22,0)</f>
        <v>-22.2</v>
      </c>
      <c r="I22" s="35"/>
      <c r="J22" s="505"/>
      <c r="K22" s="974">
        <v>12</v>
      </c>
      <c r="L22" s="453"/>
      <c r="M22" s="513">
        <f t="shared" si="0"/>
        <v>217.8</v>
      </c>
      <c r="N22" s="512"/>
      <c r="O22" s="513">
        <f t="shared" si="1"/>
        <v>36.300000000000004</v>
      </c>
      <c r="P22" s="453"/>
      <c r="Q22" s="509">
        <f t="shared" si="3"/>
        <v>2.5000000000000001E-3</v>
      </c>
      <c r="R22" s="453"/>
      <c r="S22" s="513">
        <f t="shared" si="2"/>
        <v>1.0890000000000002</v>
      </c>
    </row>
    <row r="23" spans="2:19">
      <c r="B23" s="468">
        <v>11</v>
      </c>
      <c r="C23" s="971" t="s">
        <v>660</v>
      </c>
      <c r="D23" s="972">
        <v>2012</v>
      </c>
      <c r="E23" s="973">
        <v>2</v>
      </c>
      <c r="F23" s="500">
        <v>79.930000000000007</v>
      </c>
      <c r="G23" s="35"/>
      <c r="H23" s="511">
        <f>IF(Consolidado_A!$G$133=7.6%,-(0.0165+0.076)*F23,0)</f>
        <v>-7.3935250000000003</v>
      </c>
      <c r="I23" s="35"/>
      <c r="J23" s="505"/>
      <c r="K23" s="974">
        <v>12</v>
      </c>
      <c r="L23" s="453"/>
      <c r="M23" s="513">
        <f t="shared" si="0"/>
        <v>72.53647500000001</v>
      </c>
      <c r="N23" s="512"/>
      <c r="O23" s="513">
        <f t="shared" si="1"/>
        <v>12.089412500000002</v>
      </c>
      <c r="P23" s="453"/>
      <c r="Q23" s="509">
        <f t="shared" si="3"/>
        <v>2.5000000000000001E-3</v>
      </c>
      <c r="R23" s="453"/>
      <c r="S23" s="513">
        <f t="shared" si="2"/>
        <v>0.36268237500000006</v>
      </c>
    </row>
    <row r="24" spans="2:19">
      <c r="B24" s="468">
        <v>12</v>
      </c>
      <c r="C24" s="971" t="s">
        <v>661</v>
      </c>
      <c r="D24" s="972">
        <v>2012</v>
      </c>
      <c r="E24" s="973">
        <v>3</v>
      </c>
      <c r="F24" s="500">
        <v>12.9</v>
      </c>
      <c r="G24" s="35"/>
      <c r="H24" s="511">
        <f>IF(Consolidado_A!$G$133=7.6%,-(0.0165+0.076)*F24,0)</f>
        <v>-1.1932499999999999</v>
      </c>
      <c r="I24" s="35"/>
      <c r="J24" s="505"/>
      <c r="K24" s="974">
        <v>12</v>
      </c>
      <c r="L24" s="453"/>
      <c r="M24" s="513">
        <f t="shared" si="0"/>
        <v>11.70675</v>
      </c>
      <c r="N24" s="512"/>
      <c r="O24" s="513">
        <f t="shared" si="1"/>
        <v>2.9266874999999999</v>
      </c>
      <c r="P24" s="453"/>
      <c r="Q24" s="509">
        <f t="shared" si="3"/>
        <v>2.5000000000000001E-3</v>
      </c>
      <c r="R24" s="453"/>
      <c r="S24" s="513">
        <f t="shared" si="2"/>
        <v>8.7800624999999993E-2</v>
      </c>
    </row>
    <row r="25" spans="2:19">
      <c r="B25" s="468">
        <v>13</v>
      </c>
      <c r="C25" s="971" t="s">
        <v>662</v>
      </c>
      <c r="D25" s="972">
        <v>2012</v>
      </c>
      <c r="E25" s="973">
        <v>3</v>
      </c>
      <c r="F25" s="500">
        <v>38.92</v>
      </c>
      <c r="G25" s="35"/>
      <c r="H25" s="511">
        <f>IF(Consolidado_A!$G$133=7.6%,-(0.0165+0.076)*F25,0)</f>
        <v>-3.6001000000000003</v>
      </c>
      <c r="I25" s="35"/>
      <c r="J25" s="505"/>
      <c r="K25" s="974">
        <v>12</v>
      </c>
      <c r="L25" s="453"/>
      <c r="M25" s="513">
        <f t="shared" si="0"/>
        <v>35.319900000000004</v>
      </c>
      <c r="N25" s="512"/>
      <c r="O25" s="513">
        <f t="shared" si="1"/>
        <v>8.829975000000001</v>
      </c>
      <c r="Q25" s="509">
        <f t="shared" si="3"/>
        <v>2.5000000000000001E-3</v>
      </c>
      <c r="S25" s="513">
        <f t="shared" si="2"/>
        <v>0.26489925000000003</v>
      </c>
    </row>
    <row r="26" spans="2:19">
      <c r="B26" s="468">
        <v>14</v>
      </c>
      <c r="C26" s="971" t="s">
        <v>666</v>
      </c>
      <c r="D26" s="972">
        <v>2012</v>
      </c>
      <c r="E26" s="973">
        <v>2</v>
      </c>
      <c r="F26" s="500">
        <v>55.67</v>
      </c>
      <c r="G26" s="35"/>
      <c r="H26" s="511">
        <f>IF(Consolidado_A!$G$133=7.6%,-(0.0165+0.076)*F26,0)</f>
        <v>-5.1494749999999998</v>
      </c>
      <c r="I26" s="35"/>
      <c r="J26" s="505"/>
      <c r="K26" s="974">
        <v>12</v>
      </c>
      <c r="L26" s="453"/>
      <c r="M26" s="513">
        <f t="shared" si="0"/>
        <v>50.520524999999999</v>
      </c>
      <c r="N26" s="512"/>
      <c r="O26" s="513">
        <f t="shared" si="1"/>
        <v>8.4200874999999993</v>
      </c>
      <c r="Q26" s="509">
        <f t="shared" si="3"/>
        <v>2.5000000000000001E-3</v>
      </c>
      <c r="S26" s="513">
        <f t="shared" si="2"/>
        <v>0.25260262500000003</v>
      </c>
    </row>
    <row r="27" spans="2:19">
      <c r="B27" s="468">
        <v>15</v>
      </c>
      <c r="C27" s="971" t="s">
        <v>668</v>
      </c>
      <c r="D27" s="972">
        <v>2012</v>
      </c>
      <c r="E27" s="973">
        <v>2</v>
      </c>
      <c r="F27" s="500">
        <v>19.14</v>
      </c>
      <c r="G27" s="35"/>
      <c r="H27" s="511">
        <f>IF(Consolidado_A!$G$133=7.6%,-(0.0165+0.076)*F27,0)</f>
        <v>-1.7704500000000001</v>
      </c>
      <c r="I27" s="35"/>
      <c r="J27" s="505"/>
      <c r="K27" s="974">
        <v>12</v>
      </c>
      <c r="L27" s="453"/>
      <c r="M27" s="513">
        <f t="shared" si="0"/>
        <v>17.36955</v>
      </c>
      <c r="N27" s="512"/>
      <c r="O27" s="513">
        <f t="shared" si="1"/>
        <v>2.8949250000000002</v>
      </c>
      <c r="Q27" s="509">
        <f t="shared" si="3"/>
        <v>2.5000000000000001E-3</v>
      </c>
      <c r="S27" s="513">
        <f t="shared" si="2"/>
        <v>8.6847750000000001E-2</v>
      </c>
    </row>
    <row r="28" spans="2:19">
      <c r="B28" s="468">
        <v>16</v>
      </c>
      <c r="C28" s="971" t="s">
        <v>669</v>
      </c>
      <c r="D28" s="972">
        <v>2012</v>
      </c>
      <c r="E28" s="973">
        <v>2</v>
      </c>
      <c r="F28" s="500">
        <v>78.67</v>
      </c>
      <c r="G28" s="35"/>
      <c r="H28" s="511">
        <f>IF(Consolidado_A!$G$133=7.6%,-(0.0165+0.076)*F28,0)</f>
        <v>-7.2769750000000002</v>
      </c>
      <c r="I28" s="35"/>
      <c r="J28" s="505"/>
      <c r="K28" s="974">
        <v>12</v>
      </c>
      <c r="L28" s="453"/>
      <c r="M28" s="513">
        <f t="shared" si="0"/>
        <v>71.393024999999994</v>
      </c>
      <c r="N28" s="512"/>
      <c r="O28" s="513">
        <f t="shared" si="1"/>
        <v>11.898837499999999</v>
      </c>
      <c r="Q28" s="509">
        <f t="shared" si="3"/>
        <v>2.5000000000000001E-3</v>
      </c>
      <c r="S28" s="513">
        <f t="shared" si="2"/>
        <v>0.35696512499999999</v>
      </c>
    </row>
    <row r="29" spans="2:19">
      <c r="B29" s="468">
        <v>17</v>
      </c>
      <c r="C29" s="971" t="s">
        <v>672</v>
      </c>
      <c r="D29" s="972">
        <v>2012</v>
      </c>
      <c r="E29" s="973">
        <v>2</v>
      </c>
      <c r="F29" s="500">
        <v>45.57</v>
      </c>
      <c r="G29" s="35"/>
      <c r="H29" s="511">
        <f>IF(Consolidado_A!$G$133=7.6%,-(0.0165+0.076)*F29,0)</f>
        <v>-4.2152250000000002</v>
      </c>
      <c r="I29" s="35"/>
      <c r="J29" s="505"/>
      <c r="K29" s="974">
        <v>12</v>
      </c>
      <c r="L29" s="453"/>
      <c r="M29" s="513">
        <f t="shared" si="0"/>
        <v>41.354775000000004</v>
      </c>
      <c r="N29" s="512"/>
      <c r="O29" s="513">
        <f t="shared" si="1"/>
        <v>6.8924625000000006</v>
      </c>
      <c r="Q29" s="509">
        <f t="shared" si="3"/>
        <v>2.5000000000000001E-3</v>
      </c>
      <c r="S29" s="513">
        <f t="shared" si="2"/>
        <v>0.20677387500000002</v>
      </c>
    </row>
    <row r="30" spans="2:19">
      <c r="B30" s="468">
        <v>18</v>
      </c>
      <c r="C30" s="971" t="s">
        <v>673</v>
      </c>
      <c r="D30" s="972">
        <v>2012</v>
      </c>
      <c r="E30" s="973">
        <v>8</v>
      </c>
      <c r="F30" s="500">
        <v>108.34</v>
      </c>
      <c r="G30" s="35"/>
      <c r="H30" s="511">
        <f>IF(Consolidado_A!$G$133=7.6%,-(0.0165+0.076)*F30,0)</f>
        <v>-10.02145</v>
      </c>
      <c r="I30" s="35"/>
      <c r="J30" s="505"/>
      <c r="K30" s="974">
        <v>12</v>
      </c>
      <c r="L30" s="453"/>
      <c r="M30" s="513">
        <f t="shared" si="0"/>
        <v>98.318550000000002</v>
      </c>
      <c r="N30" s="512"/>
      <c r="O30" s="513">
        <f t="shared" si="1"/>
        <v>65.545699999999997</v>
      </c>
      <c r="Q30" s="509">
        <f t="shared" si="3"/>
        <v>2.5000000000000001E-3</v>
      </c>
      <c r="S30" s="513">
        <f t="shared" si="2"/>
        <v>1.9663710000000001</v>
      </c>
    </row>
    <row r="31" spans="2:19">
      <c r="B31" s="468">
        <v>19</v>
      </c>
      <c r="C31" s="971" t="s">
        <v>675</v>
      </c>
      <c r="D31" s="972">
        <v>2012</v>
      </c>
      <c r="E31" s="973">
        <v>2</v>
      </c>
      <c r="F31" s="500">
        <v>220</v>
      </c>
      <c r="G31" s="35"/>
      <c r="H31" s="511">
        <f>IF(Consolidado_A!$G$133=7.6%,-(0.0165+0.076)*F31,0)</f>
        <v>-20.350000000000001</v>
      </c>
      <c r="I31" s="35"/>
      <c r="J31" s="505"/>
      <c r="K31" s="974">
        <v>12</v>
      </c>
      <c r="L31" s="453"/>
      <c r="M31" s="513">
        <f t="shared" si="0"/>
        <v>199.65</v>
      </c>
      <c r="N31" s="512"/>
      <c r="O31" s="513">
        <f t="shared" si="1"/>
        <v>33.274999999999999</v>
      </c>
      <c r="Q31" s="509">
        <f t="shared" si="3"/>
        <v>2.5000000000000001E-3</v>
      </c>
      <c r="S31" s="513">
        <f t="shared" si="2"/>
        <v>0.99825000000000008</v>
      </c>
    </row>
    <row r="32" spans="2:19">
      <c r="B32" s="468">
        <v>20</v>
      </c>
      <c r="C32" s="971" t="s">
        <v>674</v>
      </c>
      <c r="D32" s="972">
        <v>2012</v>
      </c>
      <c r="E32" s="973">
        <v>6</v>
      </c>
      <c r="F32" s="500">
        <v>100</v>
      </c>
      <c r="G32" s="35"/>
      <c r="H32" s="511">
        <f>IF(Consolidado_A!$G$133=7.6%,-(0.0165+0.076)*F32,0)</f>
        <v>-9.25</v>
      </c>
      <c r="I32" s="35"/>
      <c r="J32" s="505"/>
      <c r="K32" s="974">
        <v>12</v>
      </c>
      <c r="L32" s="453"/>
      <c r="M32" s="513">
        <f t="shared" si="0"/>
        <v>90.75</v>
      </c>
      <c r="N32" s="512"/>
      <c r="O32" s="513">
        <f t="shared" si="1"/>
        <v>45.375</v>
      </c>
      <c r="Q32" s="509">
        <f t="shared" si="3"/>
        <v>2.5000000000000001E-3</v>
      </c>
      <c r="S32" s="513">
        <f t="shared" si="2"/>
        <v>1.3612500000000001</v>
      </c>
    </row>
    <row r="33" spans="2:19">
      <c r="B33" s="468">
        <v>21</v>
      </c>
      <c r="C33" s="971" t="s">
        <v>676</v>
      </c>
      <c r="D33" s="972">
        <v>2012</v>
      </c>
      <c r="E33" s="973">
        <v>6</v>
      </c>
      <c r="F33" s="500">
        <v>335</v>
      </c>
      <c r="G33" s="35"/>
      <c r="H33" s="511">
        <f>IF(Consolidado_A!$G$133=7.6%,-(0.0165+0.076)*F33,0)</f>
        <v>-30.987500000000001</v>
      </c>
      <c r="I33" s="35"/>
      <c r="J33" s="505"/>
      <c r="K33" s="974">
        <v>12</v>
      </c>
      <c r="L33" s="453"/>
      <c r="M33" s="513">
        <f t="shared" si="0"/>
        <v>304.01249999999999</v>
      </c>
      <c r="N33" s="512"/>
      <c r="O33" s="513">
        <f t="shared" si="1"/>
        <v>152.00624999999999</v>
      </c>
      <c r="Q33" s="509">
        <f t="shared" si="3"/>
        <v>2.5000000000000001E-3</v>
      </c>
      <c r="S33" s="513">
        <f t="shared" si="2"/>
        <v>4.5601874999999996</v>
      </c>
    </row>
    <row r="34" spans="2:19">
      <c r="B34" s="468">
        <v>22</v>
      </c>
      <c r="C34" s="971" t="s">
        <v>678</v>
      </c>
      <c r="D34" s="972">
        <v>2012</v>
      </c>
      <c r="E34" s="973">
        <v>2</v>
      </c>
      <c r="F34" s="500">
        <v>74.87</v>
      </c>
      <c r="G34" s="35"/>
      <c r="H34" s="511">
        <f>IF(Consolidado_A!$G$133=7.6%,-(0.0165+0.076)*F34,0)</f>
        <v>-6.9254750000000005</v>
      </c>
      <c r="I34" s="35"/>
      <c r="J34" s="505">
        <v>14.974000000000002</v>
      </c>
      <c r="K34" s="974">
        <v>12</v>
      </c>
      <c r="L34" s="453"/>
      <c r="M34" s="513">
        <f t="shared" si="0"/>
        <v>52.970524999999995</v>
      </c>
      <c r="N34" s="512"/>
      <c r="O34" s="513">
        <f t="shared" si="1"/>
        <v>8.8284208333333325</v>
      </c>
      <c r="Q34" s="509">
        <f t="shared" si="3"/>
        <v>2.5000000000000001E-3</v>
      </c>
      <c r="S34" s="513">
        <f t="shared" si="2"/>
        <v>0.26485262499999995</v>
      </c>
    </row>
    <row r="35" spans="2:19">
      <c r="B35" s="468">
        <v>23</v>
      </c>
      <c r="C35" s="971" t="s">
        <v>677</v>
      </c>
      <c r="D35" s="972">
        <v>2012</v>
      </c>
      <c r="E35" s="973">
        <v>2</v>
      </c>
      <c r="F35" s="500">
        <v>32.76</v>
      </c>
      <c r="G35" s="35"/>
      <c r="H35" s="511">
        <f>IF(Consolidado_A!$G$133=7.6%,-(0.0165+0.076)*F35,0)</f>
        <v>-3.0303</v>
      </c>
      <c r="I35" s="35"/>
      <c r="J35" s="505">
        <v>6.5519999999999996</v>
      </c>
      <c r="K35" s="974">
        <v>12</v>
      </c>
      <c r="L35" s="453"/>
      <c r="M35" s="513">
        <f t="shared" si="0"/>
        <v>23.177699999999998</v>
      </c>
      <c r="N35" s="512"/>
      <c r="O35" s="513">
        <f t="shared" si="1"/>
        <v>3.8629499999999997</v>
      </c>
      <c r="Q35" s="509">
        <f t="shared" si="3"/>
        <v>2.5000000000000001E-3</v>
      </c>
      <c r="S35" s="513">
        <f t="shared" si="2"/>
        <v>0.11588849999999999</v>
      </c>
    </row>
    <row r="36" spans="2:19">
      <c r="B36" s="468">
        <v>24</v>
      </c>
      <c r="C36" s="971" t="s">
        <v>655</v>
      </c>
      <c r="D36" s="972">
        <v>2012</v>
      </c>
      <c r="E36" s="973">
        <v>2</v>
      </c>
      <c r="F36" s="500">
        <v>286.27</v>
      </c>
      <c r="G36" s="35"/>
      <c r="H36" s="511">
        <f>IF(Consolidado_A!$G$133=7.6%,-(0.0165+0.076)*F36,0)</f>
        <v>-26.479975</v>
      </c>
      <c r="I36" s="35"/>
      <c r="J36" s="505">
        <v>57.253999999999998</v>
      </c>
      <c r="K36" s="974">
        <v>12</v>
      </c>
      <c r="L36" s="453"/>
      <c r="M36" s="513">
        <f t="shared" si="0"/>
        <v>202.53602499999997</v>
      </c>
      <c r="N36" s="512"/>
      <c r="O36" s="513">
        <f t="shared" si="1"/>
        <v>33.756004166666663</v>
      </c>
      <c r="Q36" s="509">
        <f t="shared" si="3"/>
        <v>2.5000000000000001E-3</v>
      </c>
      <c r="S36" s="513">
        <f t="shared" si="2"/>
        <v>1.0126801249999999</v>
      </c>
    </row>
    <row r="37" spans="2:19">
      <c r="B37" s="468">
        <v>25</v>
      </c>
      <c r="C37" s="971" t="s">
        <v>658</v>
      </c>
      <c r="D37" s="972">
        <v>2012</v>
      </c>
      <c r="E37" s="973">
        <v>2</v>
      </c>
      <c r="F37" s="500">
        <v>1174.67</v>
      </c>
      <c r="G37" s="35"/>
      <c r="H37" s="511">
        <f>IF(Consolidado_A!$G$133=7.6%,-(0.0165+0.076)*F37,0)</f>
        <v>-108.656975</v>
      </c>
      <c r="I37" s="35"/>
      <c r="J37" s="505">
        <v>234.93400000000003</v>
      </c>
      <c r="K37" s="974">
        <v>12</v>
      </c>
      <c r="L37" s="453"/>
      <c r="M37" s="513">
        <f t="shared" si="0"/>
        <v>831.079025</v>
      </c>
      <c r="N37" s="512"/>
      <c r="O37" s="513">
        <f t="shared" si="1"/>
        <v>138.51317083333333</v>
      </c>
      <c r="Q37" s="509">
        <f t="shared" si="3"/>
        <v>2.5000000000000001E-3</v>
      </c>
      <c r="S37" s="513">
        <f t="shared" si="2"/>
        <v>4.1553951250000001</v>
      </c>
    </row>
    <row r="38" spans="2:19">
      <c r="B38" s="468">
        <v>26</v>
      </c>
      <c r="C38" s="971" t="s">
        <v>654</v>
      </c>
      <c r="D38" s="972">
        <v>2012</v>
      </c>
      <c r="E38" s="973">
        <v>2</v>
      </c>
      <c r="F38" s="500">
        <v>779</v>
      </c>
      <c r="G38" s="35"/>
      <c r="H38" s="511">
        <f>IF(Consolidado_A!$G$133=7.6%,-(0.0165+0.076)*F38,0)</f>
        <v>-72.057500000000005</v>
      </c>
      <c r="I38" s="35"/>
      <c r="J38" s="505">
        <v>155.80000000000001</v>
      </c>
      <c r="K38" s="974">
        <v>12</v>
      </c>
      <c r="L38" s="453"/>
      <c r="M38" s="513">
        <f t="shared" si="0"/>
        <v>551.14249999999993</v>
      </c>
      <c r="N38" s="512"/>
      <c r="O38" s="513">
        <f t="shared" si="1"/>
        <v>91.857083333333321</v>
      </c>
      <c r="P38" s="453"/>
      <c r="Q38" s="509">
        <f t="shared" si="3"/>
        <v>2.5000000000000001E-3</v>
      </c>
      <c r="R38" s="453"/>
      <c r="S38" s="513">
        <f t="shared" si="2"/>
        <v>2.7557124999999996</v>
      </c>
    </row>
    <row r="39" spans="2:19">
      <c r="B39" s="468">
        <v>27</v>
      </c>
      <c r="C39" s="971" t="s">
        <v>670</v>
      </c>
      <c r="D39" s="972">
        <v>2012</v>
      </c>
      <c r="E39" s="973">
        <v>2</v>
      </c>
      <c r="F39" s="500">
        <v>1691.36</v>
      </c>
      <c r="G39" s="35"/>
      <c r="H39" s="511">
        <f>IF(Consolidado_A!$G$133=7.6%,-(0.0165+0.076)*F39,0)</f>
        <v>-156.45079999999999</v>
      </c>
      <c r="I39" s="35"/>
      <c r="J39" s="505">
        <v>338.27199999999999</v>
      </c>
      <c r="K39" s="974">
        <v>12</v>
      </c>
      <c r="L39" s="453"/>
      <c r="M39" s="513">
        <f t="shared" si="0"/>
        <v>1196.6371999999999</v>
      </c>
      <c r="N39" s="512"/>
      <c r="O39" s="513">
        <f t="shared" si="1"/>
        <v>199.43953333333332</v>
      </c>
      <c r="P39" s="453"/>
      <c r="Q39" s="509">
        <f t="shared" si="3"/>
        <v>2.5000000000000001E-3</v>
      </c>
      <c r="R39" s="453"/>
      <c r="S39" s="513">
        <f t="shared" si="2"/>
        <v>5.9831859999999999</v>
      </c>
    </row>
    <row r="40" spans="2:19">
      <c r="B40" s="468">
        <v>28</v>
      </c>
      <c r="C40" s="971" t="s">
        <v>671</v>
      </c>
      <c r="D40" s="972">
        <v>2012</v>
      </c>
      <c r="E40" s="973">
        <v>2</v>
      </c>
      <c r="F40" s="500">
        <v>229</v>
      </c>
      <c r="G40" s="35"/>
      <c r="H40" s="511">
        <f>IF(Consolidado_A!$G$133=7.6%,-(0.0165+0.076)*F40,0)</f>
        <v>-21.182500000000001</v>
      </c>
      <c r="I40" s="35"/>
      <c r="J40" s="505">
        <v>45.8</v>
      </c>
      <c r="K40" s="974">
        <v>12</v>
      </c>
      <c r="L40" s="453"/>
      <c r="M40" s="513">
        <f t="shared" si="0"/>
        <v>162.01749999999998</v>
      </c>
      <c r="N40" s="512"/>
      <c r="O40" s="513">
        <f t="shared" si="1"/>
        <v>27.002916666666664</v>
      </c>
      <c r="P40" s="453"/>
      <c r="Q40" s="509">
        <f t="shared" si="3"/>
        <v>2.5000000000000001E-3</v>
      </c>
      <c r="R40" s="453"/>
      <c r="S40" s="513">
        <f t="shared" si="2"/>
        <v>0.81008749999999996</v>
      </c>
    </row>
    <row r="41" spans="2:19">
      <c r="B41" s="468">
        <v>29</v>
      </c>
      <c r="C41" s="497" t="s">
        <v>682</v>
      </c>
      <c r="D41" s="972">
        <v>2012</v>
      </c>
      <c r="E41" s="499">
        <v>4</v>
      </c>
      <c r="F41" s="500">
        <v>21.92</v>
      </c>
      <c r="G41" s="35"/>
      <c r="H41" s="511">
        <f>IF(Consolidado_A!$G$133=7.6%,-(0.0165+0.076)*F41,0)</f>
        <v>-2.0276000000000001</v>
      </c>
      <c r="I41" s="35"/>
      <c r="J41" s="505"/>
      <c r="K41" s="974">
        <v>12</v>
      </c>
      <c r="L41" s="453"/>
      <c r="M41" s="513">
        <f t="shared" si="0"/>
        <v>19.892400000000002</v>
      </c>
      <c r="N41" s="512"/>
      <c r="O41" s="513">
        <f t="shared" si="1"/>
        <v>6.6308000000000007</v>
      </c>
      <c r="P41" s="453"/>
      <c r="Q41" s="509">
        <f t="shared" si="3"/>
        <v>2.5000000000000001E-3</v>
      </c>
      <c r="R41" s="453"/>
      <c r="S41" s="513">
        <f t="shared" si="2"/>
        <v>0.19892400000000002</v>
      </c>
    </row>
    <row r="42" spans="2:19">
      <c r="B42" s="468">
        <v>30</v>
      </c>
      <c r="C42" s="497" t="s">
        <v>683</v>
      </c>
      <c r="D42" s="972">
        <v>2012</v>
      </c>
      <c r="E42" s="499">
        <v>8</v>
      </c>
      <c r="F42" s="500">
        <v>3.33</v>
      </c>
      <c r="G42" s="35"/>
      <c r="H42" s="511">
        <f>IF(Consolidado_A!$G$133=7.6%,-(0.0165+0.076)*F42,0)</f>
        <v>-0.30802499999999999</v>
      </c>
      <c r="I42" s="35"/>
      <c r="J42" s="505"/>
      <c r="K42" s="974">
        <v>12</v>
      </c>
      <c r="L42" s="453"/>
      <c r="M42" s="513">
        <f t="shared" si="0"/>
        <v>3.0219750000000003</v>
      </c>
      <c r="N42" s="512"/>
      <c r="O42" s="513">
        <f t="shared" si="1"/>
        <v>2.0146500000000001</v>
      </c>
      <c r="P42" s="453"/>
      <c r="Q42" s="509">
        <f t="shared" si="3"/>
        <v>2.5000000000000001E-3</v>
      </c>
      <c r="R42" s="453"/>
      <c r="S42" s="513">
        <f t="shared" si="2"/>
        <v>6.0439500000000007E-2</v>
      </c>
    </row>
    <row r="43" spans="2:19">
      <c r="B43" s="468">
        <v>31</v>
      </c>
      <c r="C43" s="497" t="s">
        <v>684</v>
      </c>
      <c r="D43" s="972">
        <v>2012</v>
      </c>
      <c r="E43" s="499">
        <v>8</v>
      </c>
      <c r="F43" s="500">
        <v>67.92</v>
      </c>
      <c r="G43" s="35"/>
      <c r="H43" s="511">
        <f>IF(Consolidado_A!$G$133=7.6%,-(0.0165+0.076)*F43,0)</f>
        <v>-6.2826000000000004</v>
      </c>
      <c r="I43" s="35"/>
      <c r="J43" s="505"/>
      <c r="K43" s="974">
        <v>12</v>
      </c>
      <c r="L43" s="453"/>
      <c r="M43" s="513">
        <f t="shared" si="0"/>
        <v>61.6374</v>
      </c>
      <c r="N43" s="512"/>
      <c r="O43" s="513">
        <f t="shared" si="1"/>
        <v>41.0916</v>
      </c>
      <c r="P43" s="453"/>
      <c r="Q43" s="509">
        <f t="shared" si="3"/>
        <v>2.5000000000000001E-3</v>
      </c>
      <c r="R43" s="453"/>
      <c r="S43" s="513">
        <f t="shared" si="2"/>
        <v>1.232748</v>
      </c>
    </row>
    <row r="44" spans="2:19">
      <c r="B44" s="468">
        <v>32</v>
      </c>
      <c r="C44" s="497" t="s">
        <v>685</v>
      </c>
      <c r="D44" s="972">
        <v>2012</v>
      </c>
      <c r="E44" s="499">
        <v>4</v>
      </c>
      <c r="F44" s="500">
        <v>197.55</v>
      </c>
      <c r="G44" s="35"/>
      <c r="H44" s="511">
        <f>IF(Consolidado_A!$G$133=7.6%,-(0.0165+0.076)*F44,0)</f>
        <v>-18.273375000000001</v>
      </c>
      <c r="I44" s="35"/>
      <c r="J44" s="505"/>
      <c r="K44" s="974">
        <v>12</v>
      </c>
      <c r="L44" s="453"/>
      <c r="M44" s="513">
        <f t="shared" si="0"/>
        <v>179.27662500000002</v>
      </c>
      <c r="N44" s="512"/>
      <c r="O44" s="513">
        <f t="shared" si="1"/>
        <v>59.75887500000001</v>
      </c>
      <c r="P44" s="453"/>
      <c r="Q44" s="509">
        <f t="shared" si="3"/>
        <v>2.5000000000000001E-3</v>
      </c>
      <c r="R44" s="453"/>
      <c r="S44" s="513">
        <f t="shared" si="2"/>
        <v>1.7927662500000003</v>
      </c>
    </row>
    <row r="45" spans="2:19">
      <c r="B45" s="468">
        <v>33</v>
      </c>
      <c r="C45" s="497" t="s">
        <v>686</v>
      </c>
      <c r="D45" s="972">
        <v>2012</v>
      </c>
      <c r="E45" s="499">
        <v>4</v>
      </c>
      <c r="F45" s="500">
        <v>220.59</v>
      </c>
      <c r="G45" s="35"/>
      <c r="H45" s="511">
        <f>IF(Consolidado_A!$G$133=7.6%,-(0.0165+0.076)*F45,0)</f>
        <v>-20.404575000000001</v>
      </c>
      <c r="I45" s="35"/>
      <c r="J45" s="505"/>
      <c r="K45" s="974">
        <v>12</v>
      </c>
      <c r="L45" s="453"/>
      <c r="M45" s="513">
        <f t="shared" si="0"/>
        <v>200.18542500000001</v>
      </c>
      <c r="N45" s="512"/>
      <c r="O45" s="513">
        <f t="shared" si="1"/>
        <v>66.728475000000003</v>
      </c>
      <c r="P45" s="453"/>
      <c r="Q45" s="509">
        <f t="shared" si="3"/>
        <v>2.5000000000000001E-3</v>
      </c>
      <c r="R45" s="453"/>
      <c r="S45" s="513">
        <f t="shared" si="2"/>
        <v>2.0018542500000001</v>
      </c>
    </row>
    <row r="46" spans="2:19">
      <c r="B46" s="468">
        <v>34</v>
      </c>
      <c r="C46" s="497" t="s">
        <v>702</v>
      </c>
      <c r="D46" s="498">
        <v>2012</v>
      </c>
      <c r="E46" s="499">
        <v>3</v>
      </c>
      <c r="F46" s="500">
        <v>1406.67</v>
      </c>
      <c r="G46" s="35"/>
      <c r="H46" s="511">
        <f>IF(Consolidado_A!$G$133=7.6%,-(0.0165+0.076)*F46,0)</f>
        <v>-130.116975</v>
      </c>
      <c r="I46" s="35"/>
      <c r="J46" s="505">
        <f>F46*0.2</f>
        <v>281.334</v>
      </c>
      <c r="K46" s="506">
        <v>60</v>
      </c>
      <c r="L46" s="453"/>
      <c r="M46" s="513">
        <f t="shared" si="0"/>
        <v>995.2190250000001</v>
      </c>
      <c r="N46" s="512"/>
      <c r="O46" s="513">
        <f t="shared" si="1"/>
        <v>49.760951250000005</v>
      </c>
      <c r="P46" s="453"/>
      <c r="Q46" s="509">
        <f t="shared" si="3"/>
        <v>2.5000000000000001E-3</v>
      </c>
      <c r="R46" s="453"/>
      <c r="S46" s="513">
        <f t="shared" si="2"/>
        <v>7.4641426875000008</v>
      </c>
    </row>
    <row r="47" spans="2:19">
      <c r="B47" s="468">
        <v>35</v>
      </c>
      <c r="C47" s="497" t="s">
        <v>703</v>
      </c>
      <c r="D47" s="498">
        <v>2012</v>
      </c>
      <c r="E47" s="499">
        <v>1</v>
      </c>
      <c r="F47" s="500">
        <v>1990</v>
      </c>
      <c r="G47" s="35"/>
      <c r="H47" s="511">
        <f>IF(Consolidado_A!$G$133=7.6%,-(0.0165+0.076)*F47,0)</f>
        <v>-184.07499999999999</v>
      </c>
      <c r="I47" s="35"/>
      <c r="J47" s="505">
        <f>F47*0.2</f>
        <v>398</v>
      </c>
      <c r="K47" s="506">
        <v>60</v>
      </c>
      <c r="L47" s="453"/>
      <c r="M47" s="513">
        <f t="shared" si="0"/>
        <v>1407.925</v>
      </c>
      <c r="N47" s="512"/>
      <c r="O47" s="513">
        <f t="shared" si="1"/>
        <v>23.465416666666666</v>
      </c>
      <c r="P47" s="453"/>
      <c r="Q47" s="509">
        <f t="shared" si="3"/>
        <v>2.5000000000000001E-3</v>
      </c>
      <c r="R47" s="453"/>
      <c r="S47" s="513">
        <f t="shared" si="2"/>
        <v>3.5198125</v>
      </c>
    </row>
    <row r="48" spans="2:19" hidden="1">
      <c r="B48" s="468">
        <v>36</v>
      </c>
      <c r="C48" s="497"/>
      <c r="D48" s="498"/>
      <c r="E48" s="499"/>
      <c r="F48" s="500"/>
      <c r="G48" s="35"/>
      <c r="H48" s="511">
        <f>IF(Consolidado_A!$G$133=7.6%,-(0.0165+0.076)*F48,0)</f>
        <v>0</v>
      </c>
      <c r="I48" s="35"/>
      <c r="J48" s="505"/>
      <c r="K48" s="506"/>
      <c r="L48" s="453"/>
      <c r="M48" s="513">
        <f t="shared" si="0"/>
        <v>0</v>
      </c>
      <c r="N48" s="512"/>
      <c r="O48" s="513">
        <f t="shared" si="1"/>
        <v>0</v>
      </c>
      <c r="P48" s="453"/>
      <c r="Q48" s="509">
        <f t="shared" si="3"/>
        <v>2.5000000000000001E-3</v>
      </c>
      <c r="R48" s="453"/>
      <c r="S48" s="513">
        <f t="shared" si="2"/>
        <v>0</v>
      </c>
    </row>
    <row r="49" spans="2:19" hidden="1">
      <c r="B49" s="468">
        <v>37</v>
      </c>
      <c r="C49" s="497"/>
      <c r="D49" s="498"/>
      <c r="E49" s="499"/>
      <c r="F49" s="500"/>
      <c r="G49" s="35"/>
      <c r="H49" s="511">
        <f>IF(Consolidado_A!$G$133=7.6%,-(0.0165+0.076)*F49,0)</f>
        <v>0</v>
      </c>
      <c r="I49" s="35"/>
      <c r="J49" s="505"/>
      <c r="K49" s="506"/>
      <c r="L49" s="453"/>
      <c r="M49" s="513">
        <f t="shared" si="0"/>
        <v>0</v>
      </c>
      <c r="N49" s="512"/>
      <c r="O49" s="513">
        <f t="shared" si="1"/>
        <v>0</v>
      </c>
      <c r="Q49" s="509">
        <f t="shared" si="3"/>
        <v>2.5000000000000001E-3</v>
      </c>
      <c r="S49" s="513">
        <f t="shared" si="2"/>
        <v>0</v>
      </c>
    </row>
    <row r="50" spans="2:19" hidden="1">
      <c r="B50" s="468">
        <v>38</v>
      </c>
      <c r="C50" s="497"/>
      <c r="D50" s="498"/>
      <c r="E50" s="499"/>
      <c r="F50" s="500"/>
      <c r="G50" s="35"/>
      <c r="H50" s="511">
        <f>IF(Consolidado_A!$G$133=7.6%,-(0.0165+0.076)*F50,0)</f>
        <v>0</v>
      </c>
      <c r="I50" s="35"/>
      <c r="J50" s="505"/>
      <c r="K50" s="506"/>
      <c r="L50" s="453"/>
      <c r="M50" s="513">
        <f t="shared" si="0"/>
        <v>0</v>
      </c>
      <c r="N50" s="512"/>
      <c r="O50" s="513">
        <f t="shared" si="1"/>
        <v>0</v>
      </c>
      <c r="Q50" s="509">
        <f t="shared" si="3"/>
        <v>2.5000000000000001E-3</v>
      </c>
      <c r="S50" s="513">
        <f t="shared" si="2"/>
        <v>0</v>
      </c>
    </row>
    <row r="51" spans="2:19" hidden="1">
      <c r="B51" s="468">
        <v>39</v>
      </c>
      <c r="C51" s="497"/>
      <c r="D51" s="498"/>
      <c r="E51" s="499"/>
      <c r="F51" s="500"/>
      <c r="G51" s="35"/>
      <c r="H51" s="511">
        <f>IF(Consolidado_A!$G$133=7.6%,-(0.0165+0.076)*F51,0)</f>
        <v>0</v>
      </c>
      <c r="I51" s="35"/>
      <c r="J51" s="505"/>
      <c r="K51" s="506"/>
      <c r="L51" s="453"/>
      <c r="M51" s="513">
        <f t="shared" si="0"/>
        <v>0</v>
      </c>
      <c r="N51" s="512"/>
      <c r="O51" s="513">
        <f t="shared" si="1"/>
        <v>0</v>
      </c>
      <c r="Q51" s="509">
        <f t="shared" si="3"/>
        <v>2.5000000000000001E-3</v>
      </c>
      <c r="S51" s="513">
        <f t="shared" si="2"/>
        <v>0</v>
      </c>
    </row>
    <row r="52" spans="2:19" hidden="1">
      <c r="B52" s="468">
        <v>40</v>
      </c>
      <c r="C52" s="497"/>
      <c r="D52" s="498"/>
      <c r="E52" s="499"/>
      <c r="F52" s="500"/>
      <c r="G52" s="35"/>
      <c r="H52" s="511">
        <f>IF(Consolidado_A!$G$133=7.6%,-(0.0165+0.076)*F52,0)</f>
        <v>0</v>
      </c>
      <c r="I52" s="35"/>
      <c r="J52" s="505"/>
      <c r="K52" s="506"/>
      <c r="L52" s="453"/>
      <c r="M52" s="513">
        <f t="shared" si="0"/>
        <v>0</v>
      </c>
      <c r="N52" s="512"/>
      <c r="O52" s="513">
        <f t="shared" si="1"/>
        <v>0</v>
      </c>
      <c r="Q52" s="509">
        <f t="shared" si="3"/>
        <v>2.5000000000000001E-3</v>
      </c>
      <c r="S52" s="513">
        <f t="shared" si="2"/>
        <v>0</v>
      </c>
    </row>
    <row r="53" spans="2:19" hidden="1">
      <c r="B53" s="468">
        <v>41</v>
      </c>
      <c r="C53" s="497"/>
      <c r="D53" s="498"/>
      <c r="E53" s="499"/>
      <c r="F53" s="500"/>
      <c r="G53" s="35"/>
      <c r="H53" s="511">
        <f>IF(Consolidado_A!$G$133=7.6%,-(0.0165+0.076)*F53,0)</f>
        <v>0</v>
      </c>
      <c r="I53" s="35"/>
      <c r="J53" s="505"/>
      <c r="K53" s="506"/>
      <c r="L53" s="453"/>
      <c r="M53" s="513">
        <f t="shared" si="0"/>
        <v>0</v>
      </c>
      <c r="N53" s="512"/>
      <c r="O53" s="513">
        <f t="shared" si="1"/>
        <v>0</v>
      </c>
      <c r="Q53" s="509">
        <f t="shared" si="3"/>
        <v>2.5000000000000001E-3</v>
      </c>
      <c r="S53" s="513">
        <f t="shared" si="2"/>
        <v>0</v>
      </c>
    </row>
    <row r="54" spans="2:19" hidden="1">
      <c r="B54" s="468">
        <v>42</v>
      </c>
      <c r="C54" s="497"/>
      <c r="D54" s="498"/>
      <c r="E54" s="499"/>
      <c r="F54" s="500"/>
      <c r="G54" s="35"/>
      <c r="H54" s="511">
        <f>IF(Consolidado_A!$G$133=7.6%,-(0.0165+0.076)*F54,0)</f>
        <v>0</v>
      </c>
      <c r="I54" s="35"/>
      <c r="J54" s="505"/>
      <c r="K54" s="506"/>
      <c r="L54" s="453"/>
      <c r="M54" s="513">
        <f t="shared" si="0"/>
        <v>0</v>
      </c>
      <c r="N54" s="512"/>
      <c r="O54" s="513">
        <f t="shared" si="1"/>
        <v>0</v>
      </c>
      <c r="Q54" s="509">
        <f t="shared" si="3"/>
        <v>2.5000000000000001E-3</v>
      </c>
      <c r="S54" s="513">
        <f t="shared" si="2"/>
        <v>0</v>
      </c>
    </row>
    <row r="55" spans="2:19" hidden="1">
      <c r="B55" s="468">
        <v>43</v>
      </c>
      <c r="C55" s="497"/>
      <c r="D55" s="498"/>
      <c r="E55" s="499"/>
      <c r="F55" s="500"/>
      <c r="G55" s="35"/>
      <c r="H55" s="511">
        <f>IF(Consolidado_A!$G$133=7.6%,-(0.0165+0.076)*F55,0)</f>
        <v>0</v>
      </c>
      <c r="I55" s="35"/>
      <c r="J55" s="505"/>
      <c r="K55" s="506"/>
      <c r="L55" s="453"/>
      <c r="M55" s="513">
        <f t="shared" si="0"/>
        <v>0</v>
      </c>
      <c r="N55" s="512"/>
      <c r="O55" s="513">
        <f t="shared" si="1"/>
        <v>0</v>
      </c>
      <c r="Q55" s="509">
        <f t="shared" si="3"/>
        <v>2.5000000000000001E-3</v>
      </c>
      <c r="S55" s="513">
        <f t="shared" si="2"/>
        <v>0</v>
      </c>
    </row>
    <row r="56" spans="2:19" hidden="1">
      <c r="B56" s="468">
        <v>44</v>
      </c>
      <c r="C56" s="497"/>
      <c r="D56" s="498"/>
      <c r="E56" s="499"/>
      <c r="F56" s="500"/>
      <c r="G56" s="35"/>
      <c r="H56" s="511">
        <f>IF(Consolidado_A!$G$133=7.6%,-(0.0165+0.076)*F56,0)</f>
        <v>0</v>
      </c>
      <c r="I56" s="35"/>
      <c r="J56" s="505"/>
      <c r="K56" s="506"/>
      <c r="L56" s="453"/>
      <c r="M56" s="513">
        <f t="shared" si="0"/>
        <v>0</v>
      </c>
      <c r="N56" s="512"/>
      <c r="O56" s="513">
        <f t="shared" si="1"/>
        <v>0</v>
      </c>
      <c r="Q56" s="509">
        <f t="shared" si="3"/>
        <v>2.5000000000000001E-3</v>
      </c>
      <c r="S56" s="513">
        <f t="shared" si="2"/>
        <v>0</v>
      </c>
    </row>
    <row r="57" spans="2:19" hidden="1">
      <c r="B57" s="468">
        <v>45</v>
      </c>
      <c r="C57" s="497"/>
      <c r="D57" s="498"/>
      <c r="E57" s="499"/>
      <c r="F57" s="500"/>
      <c r="G57" s="35"/>
      <c r="H57" s="511">
        <f>IF(Consolidado_A!$G$133=7.6%,-(0.0165+0.076)*F57,0)</f>
        <v>0</v>
      </c>
      <c r="I57" s="35"/>
      <c r="J57" s="505"/>
      <c r="K57" s="506"/>
      <c r="L57" s="453"/>
      <c r="M57" s="513">
        <f t="shared" si="0"/>
        <v>0</v>
      </c>
      <c r="N57" s="512"/>
      <c r="O57" s="513">
        <f t="shared" si="1"/>
        <v>0</v>
      </c>
      <c r="Q57" s="509">
        <f t="shared" si="3"/>
        <v>2.5000000000000001E-3</v>
      </c>
      <c r="S57" s="513">
        <f t="shared" si="2"/>
        <v>0</v>
      </c>
    </row>
    <row r="58" spans="2:19" hidden="1">
      <c r="B58" s="468">
        <v>46</v>
      </c>
      <c r="C58" s="497"/>
      <c r="D58" s="498"/>
      <c r="E58" s="499"/>
      <c r="F58" s="500"/>
      <c r="G58" s="35"/>
      <c r="H58" s="511">
        <f>IF(Consolidado_A!$G$133=7.6%,-(0.0165+0.076)*F58,0)</f>
        <v>0</v>
      </c>
      <c r="I58" s="35"/>
      <c r="J58" s="505"/>
      <c r="K58" s="506"/>
      <c r="L58" s="453"/>
      <c r="M58" s="513">
        <f t="shared" si="0"/>
        <v>0</v>
      </c>
      <c r="N58" s="512"/>
      <c r="O58" s="513">
        <f t="shared" si="1"/>
        <v>0</v>
      </c>
      <c r="Q58" s="509">
        <f t="shared" si="3"/>
        <v>2.5000000000000001E-3</v>
      </c>
      <c r="S58" s="513">
        <f t="shared" si="2"/>
        <v>0</v>
      </c>
    </row>
    <row r="59" spans="2:19" hidden="1">
      <c r="B59" s="468">
        <v>47</v>
      </c>
      <c r="C59" s="497"/>
      <c r="D59" s="498"/>
      <c r="E59" s="499"/>
      <c r="F59" s="500"/>
      <c r="G59" s="35"/>
      <c r="H59" s="511">
        <f>IF(Consolidado_A!$G$133=7.6%,-(0.0165+0.076)*F59,0)</f>
        <v>0</v>
      </c>
      <c r="I59" s="35"/>
      <c r="J59" s="505"/>
      <c r="K59" s="506"/>
      <c r="L59" s="453"/>
      <c r="M59" s="513">
        <f t="shared" si="0"/>
        <v>0</v>
      </c>
      <c r="N59" s="512"/>
      <c r="O59" s="513">
        <f t="shared" si="1"/>
        <v>0</v>
      </c>
      <c r="Q59" s="509">
        <f t="shared" si="3"/>
        <v>2.5000000000000001E-3</v>
      </c>
      <c r="S59" s="513">
        <f t="shared" si="2"/>
        <v>0</v>
      </c>
    </row>
    <row r="60" spans="2:19" hidden="1">
      <c r="B60" s="468">
        <v>48</v>
      </c>
      <c r="C60" s="497"/>
      <c r="D60" s="498"/>
      <c r="E60" s="499"/>
      <c r="F60" s="500"/>
      <c r="G60" s="35"/>
      <c r="H60" s="511">
        <f>IF(Consolidado_A!$G$133=7.6%,-(0.0165+0.076)*F60,0)</f>
        <v>0</v>
      </c>
      <c r="I60" s="35"/>
      <c r="J60" s="505"/>
      <c r="K60" s="506"/>
      <c r="L60" s="453"/>
      <c r="M60" s="513">
        <f t="shared" si="0"/>
        <v>0</v>
      </c>
      <c r="N60" s="512"/>
      <c r="O60" s="513">
        <f t="shared" si="1"/>
        <v>0</v>
      </c>
      <c r="Q60" s="509">
        <f t="shared" si="3"/>
        <v>2.5000000000000001E-3</v>
      </c>
      <c r="S60" s="513">
        <f t="shared" si="2"/>
        <v>0</v>
      </c>
    </row>
    <row r="61" spans="2:19" hidden="1">
      <c r="B61" s="468">
        <v>49</v>
      </c>
      <c r="C61" s="497"/>
      <c r="D61" s="498"/>
      <c r="E61" s="499"/>
      <c r="F61" s="500"/>
      <c r="G61" s="35"/>
      <c r="H61" s="511">
        <f>IF(Consolidado_A!$G$133=7.6%,-(0.0165+0.076)*F61,0)</f>
        <v>0</v>
      </c>
      <c r="I61" s="35"/>
      <c r="J61" s="505"/>
      <c r="K61" s="506"/>
      <c r="L61" s="453"/>
      <c r="M61" s="513">
        <f t="shared" si="0"/>
        <v>0</v>
      </c>
      <c r="N61" s="512"/>
      <c r="O61" s="513">
        <f t="shared" si="1"/>
        <v>0</v>
      </c>
      <c r="Q61" s="509">
        <f t="shared" si="3"/>
        <v>2.5000000000000001E-3</v>
      </c>
      <c r="S61" s="513">
        <f t="shared" si="2"/>
        <v>0</v>
      </c>
    </row>
    <row r="62" spans="2:19" hidden="1">
      <c r="B62" s="468">
        <v>50</v>
      </c>
      <c r="C62" s="497"/>
      <c r="D62" s="498"/>
      <c r="E62" s="499"/>
      <c r="F62" s="500"/>
      <c r="G62" s="35"/>
      <c r="H62" s="511">
        <f>IF(Consolidado_A!$G$133=7.6%,-(0.0165+0.076)*F62,0)</f>
        <v>0</v>
      </c>
      <c r="I62" s="35"/>
      <c r="J62" s="505"/>
      <c r="K62" s="506"/>
      <c r="L62" s="453"/>
      <c r="M62" s="513">
        <f t="shared" si="0"/>
        <v>0</v>
      </c>
      <c r="N62" s="512"/>
      <c r="O62" s="513">
        <f t="shared" si="1"/>
        <v>0</v>
      </c>
      <c r="P62" s="453"/>
      <c r="Q62" s="509">
        <f t="shared" si="3"/>
        <v>2.5000000000000001E-3</v>
      </c>
      <c r="R62" s="453"/>
      <c r="S62" s="513">
        <f t="shared" si="2"/>
        <v>0</v>
      </c>
    </row>
    <row r="63" spans="2:19" hidden="1">
      <c r="B63" s="468">
        <v>51</v>
      </c>
      <c r="C63" s="497"/>
      <c r="D63" s="498"/>
      <c r="E63" s="499"/>
      <c r="F63" s="500"/>
      <c r="G63" s="35"/>
      <c r="H63" s="511">
        <f>IF(Consolidado_A!$G$133=7.6%,-(0.0165+0.076)*F63,0)</f>
        <v>0</v>
      </c>
      <c r="I63" s="35"/>
      <c r="J63" s="505"/>
      <c r="K63" s="506"/>
      <c r="L63" s="453"/>
      <c r="M63" s="513">
        <f t="shared" si="0"/>
        <v>0</v>
      </c>
      <c r="N63" s="512"/>
      <c r="O63" s="513">
        <f t="shared" si="1"/>
        <v>0</v>
      </c>
      <c r="P63" s="453"/>
      <c r="Q63" s="509">
        <f t="shared" si="3"/>
        <v>2.5000000000000001E-3</v>
      </c>
      <c r="R63" s="453"/>
      <c r="S63" s="513">
        <f t="shared" si="2"/>
        <v>0</v>
      </c>
    </row>
    <row r="64" spans="2:19" hidden="1">
      <c r="B64" s="468">
        <v>52</v>
      </c>
      <c r="C64" s="497"/>
      <c r="D64" s="498"/>
      <c r="E64" s="499"/>
      <c r="F64" s="500"/>
      <c r="G64" s="35"/>
      <c r="H64" s="511">
        <f>IF(Consolidado_A!$G$133=7.6%,-(0.0165+0.076)*F64,0)</f>
        <v>0</v>
      </c>
      <c r="I64" s="35"/>
      <c r="J64" s="505"/>
      <c r="K64" s="506"/>
      <c r="L64" s="453"/>
      <c r="M64" s="513">
        <f t="shared" si="0"/>
        <v>0</v>
      </c>
      <c r="N64" s="512"/>
      <c r="O64" s="513">
        <f t="shared" si="1"/>
        <v>0</v>
      </c>
      <c r="P64" s="453"/>
      <c r="Q64" s="509">
        <f t="shared" si="3"/>
        <v>2.5000000000000001E-3</v>
      </c>
      <c r="R64" s="453"/>
      <c r="S64" s="513">
        <f t="shared" si="2"/>
        <v>0</v>
      </c>
    </row>
    <row r="65" spans="2:19" hidden="1">
      <c r="B65" s="468">
        <v>53</v>
      </c>
      <c r="C65" s="497"/>
      <c r="D65" s="498"/>
      <c r="E65" s="499"/>
      <c r="F65" s="500"/>
      <c r="G65" s="35"/>
      <c r="H65" s="511">
        <f>IF(Consolidado_A!$G$133=7.6%,-(0.0165+0.076)*F65,0)</f>
        <v>0</v>
      </c>
      <c r="I65" s="35"/>
      <c r="J65" s="505"/>
      <c r="K65" s="506"/>
      <c r="L65" s="453"/>
      <c r="M65" s="513">
        <f t="shared" si="0"/>
        <v>0</v>
      </c>
      <c r="N65" s="512"/>
      <c r="O65" s="513">
        <f t="shared" si="1"/>
        <v>0</v>
      </c>
      <c r="P65" s="453"/>
      <c r="Q65" s="509">
        <f t="shared" si="3"/>
        <v>2.5000000000000001E-3</v>
      </c>
      <c r="R65" s="453"/>
      <c r="S65" s="513">
        <f t="shared" si="2"/>
        <v>0</v>
      </c>
    </row>
    <row r="66" spans="2:19" hidden="1">
      <c r="B66" s="468">
        <v>54</v>
      </c>
      <c r="C66" s="497"/>
      <c r="D66" s="498"/>
      <c r="E66" s="499"/>
      <c r="F66" s="500"/>
      <c r="G66" s="35"/>
      <c r="H66" s="511">
        <f>IF(Consolidado_A!$G$133=7.6%,-(0.0165+0.076)*F66,0)</f>
        <v>0</v>
      </c>
      <c r="I66" s="35"/>
      <c r="J66" s="505"/>
      <c r="K66" s="506"/>
      <c r="L66" s="453"/>
      <c r="M66" s="513">
        <f t="shared" si="0"/>
        <v>0</v>
      </c>
      <c r="N66" s="512"/>
      <c r="O66" s="513">
        <f t="shared" si="1"/>
        <v>0</v>
      </c>
      <c r="P66" s="453"/>
      <c r="Q66" s="509">
        <f t="shared" si="3"/>
        <v>2.5000000000000001E-3</v>
      </c>
      <c r="R66" s="453"/>
      <c r="S66" s="513">
        <f t="shared" si="2"/>
        <v>0</v>
      </c>
    </row>
    <row r="67" spans="2:19" hidden="1">
      <c r="B67" s="468">
        <v>55</v>
      </c>
      <c r="C67" s="497"/>
      <c r="D67" s="498"/>
      <c r="E67" s="499"/>
      <c r="F67" s="500"/>
      <c r="G67" s="35"/>
      <c r="H67" s="511">
        <f>IF(Consolidado_A!$G$133=7.6%,-(0.0165+0.076)*F67,0)</f>
        <v>0</v>
      </c>
      <c r="I67" s="35"/>
      <c r="J67" s="505"/>
      <c r="K67" s="506"/>
      <c r="L67" s="453"/>
      <c r="M67" s="513">
        <f t="shared" si="0"/>
        <v>0</v>
      </c>
      <c r="N67" s="512"/>
      <c r="O67" s="513">
        <f t="shared" si="1"/>
        <v>0</v>
      </c>
      <c r="P67" s="453"/>
      <c r="Q67" s="509">
        <f t="shared" si="3"/>
        <v>2.5000000000000001E-3</v>
      </c>
      <c r="R67" s="453"/>
      <c r="S67" s="513">
        <f t="shared" si="2"/>
        <v>0</v>
      </c>
    </row>
    <row r="68" spans="2:19" hidden="1">
      <c r="B68" s="468">
        <v>56</v>
      </c>
      <c r="C68" s="497"/>
      <c r="D68" s="498"/>
      <c r="E68" s="499"/>
      <c r="F68" s="500"/>
      <c r="G68" s="35"/>
      <c r="H68" s="511">
        <f>IF(Consolidado_A!$G$133=7.6%,-(0.0165+0.076)*F68,0)</f>
        <v>0</v>
      </c>
      <c r="I68" s="35"/>
      <c r="J68" s="505"/>
      <c r="K68" s="506"/>
      <c r="L68" s="453"/>
      <c r="M68" s="513">
        <f t="shared" si="0"/>
        <v>0</v>
      </c>
      <c r="N68" s="512"/>
      <c r="O68" s="513">
        <f t="shared" si="1"/>
        <v>0</v>
      </c>
      <c r="P68" s="453"/>
      <c r="Q68" s="509">
        <f t="shared" si="3"/>
        <v>2.5000000000000001E-3</v>
      </c>
      <c r="R68" s="453"/>
      <c r="S68" s="513">
        <f t="shared" si="2"/>
        <v>0</v>
      </c>
    </row>
    <row r="69" spans="2:19" hidden="1">
      <c r="B69" s="468">
        <v>57</v>
      </c>
      <c r="C69" s="497"/>
      <c r="D69" s="498"/>
      <c r="E69" s="499"/>
      <c r="F69" s="500"/>
      <c r="G69" s="35"/>
      <c r="H69" s="511">
        <f>IF(Consolidado_A!$G$133=7.6%,-(0.0165+0.076)*F69,0)</f>
        <v>0</v>
      </c>
      <c r="I69" s="35"/>
      <c r="J69" s="505"/>
      <c r="K69" s="506"/>
      <c r="L69" s="453"/>
      <c r="M69" s="513">
        <f t="shared" si="0"/>
        <v>0</v>
      </c>
      <c r="N69" s="512"/>
      <c r="O69" s="513">
        <f t="shared" si="1"/>
        <v>0</v>
      </c>
      <c r="P69" s="453"/>
      <c r="Q69" s="509">
        <f t="shared" si="3"/>
        <v>2.5000000000000001E-3</v>
      </c>
      <c r="R69" s="453"/>
      <c r="S69" s="513">
        <f t="shared" si="2"/>
        <v>0</v>
      </c>
    </row>
    <row r="70" spans="2:19" hidden="1">
      <c r="B70" s="468">
        <v>58</v>
      </c>
      <c r="C70" s="497"/>
      <c r="D70" s="498"/>
      <c r="E70" s="499"/>
      <c r="F70" s="500"/>
      <c r="G70" s="35"/>
      <c r="H70" s="511">
        <f>IF(Consolidado_A!$G$133=7.6%,-(0.0165+0.076)*F70,0)</f>
        <v>0</v>
      </c>
      <c r="I70" s="35"/>
      <c r="J70" s="505"/>
      <c r="K70" s="506"/>
      <c r="L70" s="453"/>
      <c r="M70" s="513">
        <f t="shared" si="0"/>
        <v>0</v>
      </c>
      <c r="N70" s="512"/>
      <c r="O70" s="513">
        <f t="shared" si="1"/>
        <v>0</v>
      </c>
      <c r="P70" s="453"/>
      <c r="Q70" s="509">
        <f t="shared" si="3"/>
        <v>2.5000000000000001E-3</v>
      </c>
      <c r="R70" s="453"/>
      <c r="S70" s="513">
        <f t="shared" si="2"/>
        <v>0</v>
      </c>
    </row>
    <row r="71" spans="2:19" hidden="1">
      <c r="B71" s="468">
        <v>59</v>
      </c>
      <c r="C71" s="497"/>
      <c r="D71" s="498"/>
      <c r="E71" s="499"/>
      <c r="F71" s="500"/>
      <c r="G71" s="35"/>
      <c r="H71" s="511">
        <f>IF(Consolidado_A!$G$133=7.6%,-(0.0165+0.076)*F71,0)</f>
        <v>0</v>
      </c>
      <c r="I71" s="35"/>
      <c r="J71" s="505"/>
      <c r="K71" s="506"/>
      <c r="L71" s="453"/>
      <c r="M71" s="513">
        <f t="shared" si="0"/>
        <v>0</v>
      </c>
      <c r="N71" s="512"/>
      <c r="O71" s="513">
        <f t="shared" si="1"/>
        <v>0</v>
      </c>
      <c r="P71" s="453"/>
      <c r="Q71" s="509">
        <f t="shared" si="3"/>
        <v>2.5000000000000001E-3</v>
      </c>
      <c r="R71" s="453"/>
      <c r="S71" s="513">
        <f t="shared" si="2"/>
        <v>0</v>
      </c>
    </row>
    <row r="72" spans="2:19" hidden="1">
      <c r="B72" s="468">
        <v>60</v>
      </c>
      <c r="C72" s="497"/>
      <c r="D72" s="498"/>
      <c r="E72" s="499"/>
      <c r="F72" s="500"/>
      <c r="G72" s="35"/>
      <c r="H72" s="511">
        <f>IF(Consolidado_A!$G$133=7.6%,-(0.0165+0.076)*F72,0)</f>
        <v>0</v>
      </c>
      <c r="I72" s="35"/>
      <c r="J72" s="505"/>
      <c r="K72" s="506"/>
      <c r="L72" s="453"/>
      <c r="M72" s="513">
        <f t="shared" si="0"/>
        <v>0</v>
      </c>
      <c r="N72" s="512"/>
      <c r="O72" s="513">
        <f t="shared" si="1"/>
        <v>0</v>
      </c>
      <c r="P72" s="453"/>
      <c r="Q72" s="509">
        <f t="shared" si="3"/>
        <v>2.5000000000000001E-3</v>
      </c>
      <c r="R72" s="453"/>
      <c r="S72" s="513">
        <f t="shared" si="2"/>
        <v>0</v>
      </c>
    </row>
    <row r="73" spans="2:19" hidden="1">
      <c r="B73" s="468">
        <v>61</v>
      </c>
      <c r="C73" s="497"/>
      <c r="D73" s="498"/>
      <c r="E73" s="499"/>
      <c r="F73" s="500"/>
      <c r="G73" s="35"/>
      <c r="H73" s="511">
        <f>IF(Consolidado_A!$G$133=7.6%,-(0.0165+0.076)*F73,0)</f>
        <v>0</v>
      </c>
      <c r="I73" s="35"/>
      <c r="J73" s="505"/>
      <c r="K73" s="506"/>
      <c r="L73" s="453"/>
      <c r="M73" s="513">
        <f t="shared" si="0"/>
        <v>0</v>
      </c>
      <c r="N73" s="512"/>
      <c r="O73" s="513">
        <f t="shared" si="1"/>
        <v>0</v>
      </c>
      <c r="Q73" s="509">
        <f t="shared" si="3"/>
        <v>2.5000000000000001E-3</v>
      </c>
      <c r="S73" s="513">
        <f t="shared" si="2"/>
        <v>0</v>
      </c>
    </row>
    <row r="74" spans="2:19" hidden="1">
      <c r="B74" s="468">
        <v>62</v>
      </c>
      <c r="C74" s="497"/>
      <c r="D74" s="498"/>
      <c r="E74" s="499"/>
      <c r="F74" s="500"/>
      <c r="G74" s="35"/>
      <c r="H74" s="511">
        <f>IF(Consolidado_A!$G$133=7.6%,-(0.0165+0.076)*F74,0)</f>
        <v>0</v>
      </c>
      <c r="I74" s="35"/>
      <c r="J74" s="505"/>
      <c r="K74" s="506"/>
      <c r="L74" s="453"/>
      <c r="M74" s="513">
        <f t="shared" si="0"/>
        <v>0</v>
      </c>
      <c r="N74" s="512"/>
      <c r="O74" s="513">
        <f t="shared" si="1"/>
        <v>0</v>
      </c>
      <c r="Q74" s="509">
        <f t="shared" si="3"/>
        <v>2.5000000000000001E-3</v>
      </c>
      <c r="S74" s="513">
        <f t="shared" si="2"/>
        <v>0</v>
      </c>
    </row>
    <row r="75" spans="2:19" hidden="1">
      <c r="B75" s="468">
        <v>63</v>
      </c>
      <c r="C75" s="497"/>
      <c r="D75" s="498"/>
      <c r="E75" s="499"/>
      <c r="F75" s="500"/>
      <c r="G75" s="35"/>
      <c r="H75" s="511">
        <f>IF(Consolidado_A!$G$133=7.6%,-(0.0165+0.076)*F75,0)</f>
        <v>0</v>
      </c>
      <c r="I75" s="35"/>
      <c r="J75" s="505"/>
      <c r="K75" s="506"/>
      <c r="L75" s="453"/>
      <c r="M75" s="513">
        <f t="shared" si="0"/>
        <v>0</v>
      </c>
      <c r="N75" s="512"/>
      <c r="O75" s="513">
        <f t="shared" si="1"/>
        <v>0</v>
      </c>
      <c r="Q75" s="509">
        <f t="shared" si="3"/>
        <v>2.5000000000000001E-3</v>
      </c>
      <c r="S75" s="513">
        <f t="shared" si="2"/>
        <v>0</v>
      </c>
    </row>
    <row r="76" spans="2:19" hidden="1">
      <c r="B76" s="468">
        <v>64</v>
      </c>
      <c r="C76" s="497"/>
      <c r="D76" s="498"/>
      <c r="E76" s="499"/>
      <c r="F76" s="500"/>
      <c r="G76" s="35"/>
      <c r="H76" s="511">
        <f>IF(Consolidado_A!$G$133=7.6%,-(0.0165+0.076)*F76,0)</f>
        <v>0</v>
      </c>
      <c r="I76" s="35"/>
      <c r="J76" s="505"/>
      <c r="K76" s="506"/>
      <c r="L76" s="453"/>
      <c r="M76" s="513">
        <f t="shared" si="0"/>
        <v>0</v>
      </c>
      <c r="N76" s="512"/>
      <c r="O76" s="513">
        <f t="shared" si="1"/>
        <v>0</v>
      </c>
      <c r="Q76" s="509">
        <f t="shared" si="3"/>
        <v>2.5000000000000001E-3</v>
      </c>
      <c r="S76" s="513">
        <f t="shared" si="2"/>
        <v>0</v>
      </c>
    </row>
    <row r="77" spans="2:19" hidden="1">
      <c r="B77" s="468">
        <v>65</v>
      </c>
      <c r="C77" s="497"/>
      <c r="D77" s="498"/>
      <c r="E77" s="499"/>
      <c r="F77" s="500"/>
      <c r="G77" s="35"/>
      <c r="H77" s="511">
        <f>IF(Consolidado_A!$G$133=7.6%,-(0.0165+0.076)*F77,0)</f>
        <v>0</v>
      </c>
      <c r="I77" s="35"/>
      <c r="J77" s="505"/>
      <c r="K77" s="506"/>
      <c r="L77" s="453"/>
      <c r="M77" s="513">
        <f t="shared" ref="M77:M140" si="4">IF(E77&gt;0,(F77+H77)-J77,0)</f>
        <v>0</v>
      </c>
      <c r="N77" s="512"/>
      <c r="O77" s="513">
        <f t="shared" ref="O77:O140" si="5">IF(E77=0,0,(M77/K77)*E77)</f>
        <v>0</v>
      </c>
      <c r="Q77" s="509">
        <f t="shared" si="3"/>
        <v>2.5000000000000001E-3</v>
      </c>
      <c r="S77" s="513">
        <f t="shared" ref="S77:S140" si="6">E77*(M77*Q77)</f>
        <v>0</v>
      </c>
    </row>
    <row r="78" spans="2:19" hidden="1">
      <c r="B78" s="468">
        <v>66</v>
      </c>
      <c r="C78" s="497"/>
      <c r="D78" s="498"/>
      <c r="E78" s="499"/>
      <c r="F78" s="500"/>
      <c r="G78" s="35"/>
      <c r="H78" s="511">
        <f>IF(Consolidado_A!$G$133=7.6%,-(0.0165+0.076)*F78,0)</f>
        <v>0</v>
      </c>
      <c r="I78" s="35"/>
      <c r="J78" s="505"/>
      <c r="K78" s="506"/>
      <c r="L78" s="453"/>
      <c r="M78" s="513">
        <f t="shared" si="4"/>
        <v>0</v>
      </c>
      <c r="N78" s="512"/>
      <c r="O78" s="513">
        <f t="shared" si="5"/>
        <v>0</v>
      </c>
      <c r="Q78" s="509">
        <f t="shared" ref="Q78:Q141" si="7">Q77</f>
        <v>2.5000000000000001E-3</v>
      </c>
      <c r="S78" s="513">
        <f t="shared" si="6"/>
        <v>0</v>
      </c>
    </row>
    <row r="79" spans="2:19" hidden="1">
      <c r="B79" s="468">
        <v>67</v>
      </c>
      <c r="C79" s="497"/>
      <c r="D79" s="498"/>
      <c r="E79" s="499"/>
      <c r="F79" s="500"/>
      <c r="G79" s="35"/>
      <c r="H79" s="511">
        <f>IF(Consolidado_A!$G$133=7.6%,-(0.0165+0.076)*F79,0)</f>
        <v>0</v>
      </c>
      <c r="I79" s="35"/>
      <c r="J79" s="505"/>
      <c r="K79" s="506"/>
      <c r="L79" s="453"/>
      <c r="M79" s="513">
        <f t="shared" si="4"/>
        <v>0</v>
      </c>
      <c r="N79" s="512"/>
      <c r="O79" s="513">
        <f t="shared" si="5"/>
        <v>0</v>
      </c>
      <c r="Q79" s="509">
        <f t="shared" si="7"/>
        <v>2.5000000000000001E-3</v>
      </c>
      <c r="S79" s="513">
        <f t="shared" si="6"/>
        <v>0</v>
      </c>
    </row>
    <row r="80" spans="2:19" hidden="1">
      <c r="B80" s="468">
        <v>68</v>
      </c>
      <c r="C80" s="497"/>
      <c r="D80" s="498"/>
      <c r="E80" s="499"/>
      <c r="F80" s="500"/>
      <c r="G80" s="35"/>
      <c r="H80" s="511">
        <f>IF(Consolidado_A!$G$133=7.6%,-(0.0165+0.076)*F80,0)</f>
        <v>0</v>
      </c>
      <c r="I80" s="35"/>
      <c r="J80" s="505"/>
      <c r="K80" s="506"/>
      <c r="L80" s="453"/>
      <c r="M80" s="513">
        <f t="shared" si="4"/>
        <v>0</v>
      </c>
      <c r="N80" s="512"/>
      <c r="O80" s="513">
        <f t="shared" si="5"/>
        <v>0</v>
      </c>
      <c r="Q80" s="509">
        <f t="shared" si="7"/>
        <v>2.5000000000000001E-3</v>
      </c>
      <c r="S80" s="513">
        <f t="shared" si="6"/>
        <v>0</v>
      </c>
    </row>
    <row r="81" spans="2:19" hidden="1">
      <c r="B81" s="468">
        <v>69</v>
      </c>
      <c r="C81" s="497"/>
      <c r="D81" s="498"/>
      <c r="E81" s="499"/>
      <c r="F81" s="500"/>
      <c r="G81" s="35"/>
      <c r="H81" s="511">
        <f>IF(Consolidado_A!$G$133=7.6%,-(0.0165+0.076)*F81,0)</f>
        <v>0</v>
      </c>
      <c r="I81" s="35"/>
      <c r="J81" s="505"/>
      <c r="K81" s="506"/>
      <c r="L81" s="453"/>
      <c r="M81" s="513">
        <f t="shared" si="4"/>
        <v>0</v>
      </c>
      <c r="N81" s="512"/>
      <c r="O81" s="513">
        <f t="shared" si="5"/>
        <v>0</v>
      </c>
      <c r="Q81" s="509">
        <f t="shared" si="7"/>
        <v>2.5000000000000001E-3</v>
      </c>
      <c r="S81" s="513">
        <f t="shared" si="6"/>
        <v>0</v>
      </c>
    </row>
    <row r="82" spans="2:19" hidden="1">
      <c r="B82" s="468">
        <v>70</v>
      </c>
      <c r="C82" s="497"/>
      <c r="D82" s="498"/>
      <c r="E82" s="499"/>
      <c r="F82" s="500"/>
      <c r="G82" s="35"/>
      <c r="H82" s="511">
        <f>IF(Consolidado_A!$G$133=7.6%,-(0.0165+0.076)*F82,0)</f>
        <v>0</v>
      </c>
      <c r="I82" s="35"/>
      <c r="J82" s="505"/>
      <c r="K82" s="506"/>
      <c r="L82" s="453"/>
      <c r="M82" s="513">
        <f t="shared" si="4"/>
        <v>0</v>
      </c>
      <c r="N82" s="512"/>
      <c r="O82" s="513">
        <f t="shared" si="5"/>
        <v>0</v>
      </c>
      <c r="Q82" s="509">
        <f t="shared" si="7"/>
        <v>2.5000000000000001E-3</v>
      </c>
      <c r="S82" s="513">
        <f t="shared" si="6"/>
        <v>0</v>
      </c>
    </row>
    <row r="83" spans="2:19" hidden="1">
      <c r="B83" s="468">
        <v>71</v>
      </c>
      <c r="C83" s="497"/>
      <c r="D83" s="498"/>
      <c r="E83" s="499"/>
      <c r="F83" s="500"/>
      <c r="G83" s="35"/>
      <c r="H83" s="511">
        <f>IF(Consolidado_A!$G$133=7.6%,-(0.0165+0.076)*F83,0)</f>
        <v>0</v>
      </c>
      <c r="I83" s="35"/>
      <c r="J83" s="505"/>
      <c r="K83" s="506"/>
      <c r="L83" s="453"/>
      <c r="M83" s="513">
        <f t="shared" si="4"/>
        <v>0</v>
      </c>
      <c r="N83" s="512"/>
      <c r="O83" s="513">
        <f t="shared" si="5"/>
        <v>0</v>
      </c>
      <c r="Q83" s="509">
        <f t="shared" si="7"/>
        <v>2.5000000000000001E-3</v>
      </c>
      <c r="S83" s="513">
        <f t="shared" si="6"/>
        <v>0</v>
      </c>
    </row>
    <row r="84" spans="2:19" hidden="1">
      <c r="B84" s="468">
        <v>72</v>
      </c>
      <c r="C84" s="497"/>
      <c r="D84" s="498"/>
      <c r="E84" s="499"/>
      <c r="F84" s="500"/>
      <c r="G84" s="35"/>
      <c r="H84" s="511">
        <f>IF(Consolidado_A!$G$133=7.6%,-(0.0165+0.076)*F84,0)</f>
        <v>0</v>
      </c>
      <c r="I84" s="35"/>
      <c r="J84" s="505"/>
      <c r="K84" s="506"/>
      <c r="L84" s="453"/>
      <c r="M84" s="513">
        <f t="shared" si="4"/>
        <v>0</v>
      </c>
      <c r="N84" s="512"/>
      <c r="O84" s="513">
        <f t="shared" si="5"/>
        <v>0</v>
      </c>
      <c r="Q84" s="509">
        <f t="shared" si="7"/>
        <v>2.5000000000000001E-3</v>
      </c>
      <c r="S84" s="513">
        <f t="shared" si="6"/>
        <v>0</v>
      </c>
    </row>
    <row r="85" spans="2:19" hidden="1">
      <c r="B85" s="468">
        <v>73</v>
      </c>
      <c r="C85" s="497"/>
      <c r="D85" s="498"/>
      <c r="E85" s="499"/>
      <c r="F85" s="500"/>
      <c r="G85" s="35"/>
      <c r="H85" s="511">
        <f>IF(Consolidado_A!$G$133=7.6%,-(0.0165+0.076)*F85,0)</f>
        <v>0</v>
      </c>
      <c r="I85" s="35"/>
      <c r="J85" s="505"/>
      <c r="K85" s="506"/>
      <c r="L85" s="453"/>
      <c r="M85" s="513">
        <f t="shared" si="4"/>
        <v>0</v>
      </c>
      <c r="N85" s="512"/>
      <c r="O85" s="513">
        <f t="shared" si="5"/>
        <v>0</v>
      </c>
      <c r="Q85" s="509">
        <f t="shared" si="7"/>
        <v>2.5000000000000001E-3</v>
      </c>
      <c r="S85" s="513">
        <f t="shared" si="6"/>
        <v>0</v>
      </c>
    </row>
    <row r="86" spans="2:19" hidden="1">
      <c r="B86" s="468">
        <v>74</v>
      </c>
      <c r="C86" s="497"/>
      <c r="D86" s="498"/>
      <c r="E86" s="499"/>
      <c r="F86" s="500"/>
      <c r="G86" s="35"/>
      <c r="H86" s="511">
        <f>IF(Consolidado_A!$G$133=7.6%,-(0.0165+0.076)*F86,0)</f>
        <v>0</v>
      </c>
      <c r="I86" s="35"/>
      <c r="J86" s="505"/>
      <c r="K86" s="506"/>
      <c r="L86" s="453"/>
      <c r="M86" s="513">
        <f t="shared" si="4"/>
        <v>0</v>
      </c>
      <c r="N86" s="512"/>
      <c r="O86" s="513">
        <f t="shared" si="5"/>
        <v>0</v>
      </c>
      <c r="P86" s="453"/>
      <c r="Q86" s="509">
        <f t="shared" si="7"/>
        <v>2.5000000000000001E-3</v>
      </c>
      <c r="R86" s="453"/>
      <c r="S86" s="513">
        <f t="shared" si="6"/>
        <v>0</v>
      </c>
    </row>
    <row r="87" spans="2:19" hidden="1">
      <c r="B87" s="468">
        <v>75</v>
      </c>
      <c r="C87" s="497"/>
      <c r="D87" s="498"/>
      <c r="E87" s="499"/>
      <c r="F87" s="500"/>
      <c r="G87" s="35"/>
      <c r="H87" s="511">
        <f>IF(Consolidado_A!$G$133=7.6%,-(0.0165+0.076)*F87,0)</f>
        <v>0</v>
      </c>
      <c r="I87" s="35"/>
      <c r="J87" s="505"/>
      <c r="K87" s="506"/>
      <c r="L87" s="453"/>
      <c r="M87" s="513">
        <f t="shared" si="4"/>
        <v>0</v>
      </c>
      <c r="N87" s="512"/>
      <c r="O87" s="513">
        <f t="shared" si="5"/>
        <v>0</v>
      </c>
      <c r="P87" s="453"/>
      <c r="Q87" s="509">
        <f t="shared" si="7"/>
        <v>2.5000000000000001E-3</v>
      </c>
      <c r="R87" s="453"/>
      <c r="S87" s="513">
        <f t="shared" si="6"/>
        <v>0</v>
      </c>
    </row>
    <row r="88" spans="2:19" hidden="1">
      <c r="B88" s="468">
        <v>76</v>
      </c>
      <c r="C88" s="497"/>
      <c r="D88" s="498"/>
      <c r="E88" s="499"/>
      <c r="F88" s="500"/>
      <c r="G88" s="35"/>
      <c r="H88" s="511">
        <f>IF(Consolidado_A!$G$133=7.6%,-(0.0165+0.076)*F88,0)</f>
        <v>0</v>
      </c>
      <c r="I88" s="35"/>
      <c r="J88" s="505"/>
      <c r="K88" s="506"/>
      <c r="L88" s="453"/>
      <c r="M88" s="513">
        <f t="shared" si="4"/>
        <v>0</v>
      </c>
      <c r="N88" s="512"/>
      <c r="O88" s="513">
        <f t="shared" si="5"/>
        <v>0</v>
      </c>
      <c r="P88" s="453"/>
      <c r="Q88" s="509">
        <f t="shared" si="7"/>
        <v>2.5000000000000001E-3</v>
      </c>
      <c r="R88" s="453"/>
      <c r="S88" s="513">
        <f t="shared" si="6"/>
        <v>0</v>
      </c>
    </row>
    <row r="89" spans="2:19" hidden="1">
      <c r="B89" s="468">
        <v>77</v>
      </c>
      <c r="C89" s="497"/>
      <c r="D89" s="498"/>
      <c r="E89" s="499"/>
      <c r="F89" s="500"/>
      <c r="G89" s="35"/>
      <c r="H89" s="511">
        <f>IF(Consolidado_A!$G$133=7.6%,-(0.0165+0.076)*F89,0)</f>
        <v>0</v>
      </c>
      <c r="I89" s="35"/>
      <c r="J89" s="505"/>
      <c r="K89" s="506"/>
      <c r="L89" s="453"/>
      <c r="M89" s="513">
        <f t="shared" si="4"/>
        <v>0</v>
      </c>
      <c r="N89" s="512"/>
      <c r="O89" s="513">
        <f t="shared" si="5"/>
        <v>0</v>
      </c>
      <c r="P89" s="453"/>
      <c r="Q89" s="509">
        <f t="shared" si="7"/>
        <v>2.5000000000000001E-3</v>
      </c>
      <c r="R89" s="453"/>
      <c r="S89" s="513">
        <f t="shared" si="6"/>
        <v>0</v>
      </c>
    </row>
    <row r="90" spans="2:19" hidden="1">
      <c r="B90" s="468">
        <v>78</v>
      </c>
      <c r="C90" s="497"/>
      <c r="D90" s="498"/>
      <c r="E90" s="499"/>
      <c r="F90" s="500"/>
      <c r="G90" s="35"/>
      <c r="H90" s="511">
        <f>IF(Consolidado_A!$G$133=7.6%,-(0.0165+0.076)*F90,0)</f>
        <v>0</v>
      </c>
      <c r="I90" s="35"/>
      <c r="J90" s="505"/>
      <c r="K90" s="506"/>
      <c r="L90" s="453"/>
      <c r="M90" s="513">
        <f t="shared" si="4"/>
        <v>0</v>
      </c>
      <c r="N90" s="512"/>
      <c r="O90" s="513">
        <f t="shared" si="5"/>
        <v>0</v>
      </c>
      <c r="P90" s="453"/>
      <c r="Q90" s="509">
        <f t="shared" si="7"/>
        <v>2.5000000000000001E-3</v>
      </c>
      <c r="R90" s="453"/>
      <c r="S90" s="513">
        <f t="shared" si="6"/>
        <v>0</v>
      </c>
    </row>
    <row r="91" spans="2:19" hidden="1">
      <c r="B91" s="468">
        <v>79</v>
      </c>
      <c r="C91" s="497"/>
      <c r="D91" s="498"/>
      <c r="E91" s="499"/>
      <c r="F91" s="500"/>
      <c r="G91" s="35"/>
      <c r="H91" s="511">
        <f>IF(Consolidado_A!$G$133=7.6%,-(0.0165+0.076)*F91,0)</f>
        <v>0</v>
      </c>
      <c r="I91" s="35"/>
      <c r="J91" s="505"/>
      <c r="K91" s="506"/>
      <c r="L91" s="453"/>
      <c r="M91" s="513">
        <f t="shared" si="4"/>
        <v>0</v>
      </c>
      <c r="N91" s="512"/>
      <c r="O91" s="513">
        <f t="shared" si="5"/>
        <v>0</v>
      </c>
      <c r="P91" s="453"/>
      <c r="Q91" s="509">
        <f t="shared" si="7"/>
        <v>2.5000000000000001E-3</v>
      </c>
      <c r="R91" s="453"/>
      <c r="S91" s="513">
        <f t="shared" si="6"/>
        <v>0</v>
      </c>
    </row>
    <row r="92" spans="2:19" hidden="1">
      <c r="B92" s="468">
        <v>80</v>
      </c>
      <c r="C92" s="497"/>
      <c r="D92" s="498"/>
      <c r="E92" s="499"/>
      <c r="F92" s="500"/>
      <c r="G92" s="35"/>
      <c r="H92" s="511">
        <f>IF(Consolidado_A!$G$133=7.6%,-(0.0165+0.076)*F92,0)</f>
        <v>0</v>
      </c>
      <c r="I92" s="35"/>
      <c r="J92" s="505"/>
      <c r="K92" s="506"/>
      <c r="L92" s="453"/>
      <c r="M92" s="513">
        <f t="shared" si="4"/>
        <v>0</v>
      </c>
      <c r="N92" s="512"/>
      <c r="O92" s="513">
        <f t="shared" si="5"/>
        <v>0</v>
      </c>
      <c r="P92" s="453"/>
      <c r="Q92" s="509">
        <f t="shared" si="7"/>
        <v>2.5000000000000001E-3</v>
      </c>
      <c r="R92" s="453"/>
      <c r="S92" s="513">
        <f t="shared" si="6"/>
        <v>0</v>
      </c>
    </row>
    <row r="93" spans="2:19" hidden="1">
      <c r="B93" s="468">
        <v>81</v>
      </c>
      <c r="C93" s="497"/>
      <c r="D93" s="498"/>
      <c r="E93" s="499"/>
      <c r="F93" s="500"/>
      <c r="G93" s="35"/>
      <c r="H93" s="511">
        <f>IF(Consolidado_A!$G$133=7.6%,-(0.0165+0.076)*F93,0)</f>
        <v>0</v>
      </c>
      <c r="I93" s="35"/>
      <c r="J93" s="505"/>
      <c r="K93" s="506"/>
      <c r="L93" s="453"/>
      <c r="M93" s="513">
        <f t="shared" si="4"/>
        <v>0</v>
      </c>
      <c r="N93" s="512"/>
      <c r="O93" s="513">
        <f t="shared" si="5"/>
        <v>0</v>
      </c>
      <c r="P93" s="453"/>
      <c r="Q93" s="509">
        <f t="shared" si="7"/>
        <v>2.5000000000000001E-3</v>
      </c>
      <c r="R93" s="453"/>
      <c r="S93" s="513">
        <f t="shared" si="6"/>
        <v>0</v>
      </c>
    </row>
    <row r="94" spans="2:19" hidden="1">
      <c r="B94" s="468">
        <v>82</v>
      </c>
      <c r="C94" s="497"/>
      <c r="D94" s="498"/>
      <c r="E94" s="499"/>
      <c r="F94" s="500"/>
      <c r="G94" s="35"/>
      <c r="H94" s="511">
        <f>IF(Consolidado_A!$G$133=7.6%,-(0.0165+0.076)*F94,0)</f>
        <v>0</v>
      </c>
      <c r="I94" s="35"/>
      <c r="J94" s="505"/>
      <c r="K94" s="506"/>
      <c r="L94" s="453"/>
      <c r="M94" s="513">
        <f t="shared" si="4"/>
        <v>0</v>
      </c>
      <c r="N94" s="512"/>
      <c r="O94" s="513">
        <f t="shared" si="5"/>
        <v>0</v>
      </c>
      <c r="P94" s="453"/>
      <c r="Q94" s="509">
        <f t="shared" si="7"/>
        <v>2.5000000000000001E-3</v>
      </c>
      <c r="R94" s="453"/>
      <c r="S94" s="513">
        <f t="shared" si="6"/>
        <v>0</v>
      </c>
    </row>
    <row r="95" spans="2:19" hidden="1">
      <c r="B95" s="468">
        <v>83</v>
      </c>
      <c r="C95" s="497"/>
      <c r="D95" s="498"/>
      <c r="E95" s="499"/>
      <c r="F95" s="500"/>
      <c r="G95" s="35"/>
      <c r="H95" s="511">
        <f>IF(Consolidado_A!$G$133=7.6%,-(0.0165+0.076)*F95,0)</f>
        <v>0</v>
      </c>
      <c r="I95" s="35"/>
      <c r="J95" s="505"/>
      <c r="K95" s="506"/>
      <c r="L95" s="453"/>
      <c r="M95" s="513">
        <f t="shared" si="4"/>
        <v>0</v>
      </c>
      <c r="N95" s="512"/>
      <c r="O95" s="513">
        <f t="shared" si="5"/>
        <v>0</v>
      </c>
      <c r="P95" s="453"/>
      <c r="Q95" s="509">
        <f t="shared" si="7"/>
        <v>2.5000000000000001E-3</v>
      </c>
      <c r="R95" s="453"/>
      <c r="S95" s="513">
        <f t="shared" si="6"/>
        <v>0</v>
      </c>
    </row>
    <row r="96" spans="2:19" hidden="1">
      <c r="B96" s="468">
        <v>84</v>
      </c>
      <c r="C96" s="497"/>
      <c r="D96" s="498"/>
      <c r="E96" s="499"/>
      <c r="F96" s="500"/>
      <c r="G96" s="35"/>
      <c r="H96" s="511">
        <f>IF(Consolidado_A!$G$133=7.6%,-(0.0165+0.076)*F96,0)</f>
        <v>0</v>
      </c>
      <c r="I96" s="35"/>
      <c r="J96" s="505"/>
      <c r="K96" s="506"/>
      <c r="L96" s="453"/>
      <c r="M96" s="513">
        <f t="shared" si="4"/>
        <v>0</v>
      </c>
      <c r="N96" s="512"/>
      <c r="O96" s="513">
        <f t="shared" si="5"/>
        <v>0</v>
      </c>
      <c r="P96" s="453"/>
      <c r="Q96" s="509">
        <f t="shared" si="7"/>
        <v>2.5000000000000001E-3</v>
      </c>
      <c r="R96" s="453"/>
      <c r="S96" s="513">
        <f t="shared" si="6"/>
        <v>0</v>
      </c>
    </row>
    <row r="97" spans="2:19" hidden="1">
      <c r="B97" s="468">
        <v>85</v>
      </c>
      <c r="C97" s="497"/>
      <c r="D97" s="498"/>
      <c r="E97" s="499"/>
      <c r="F97" s="500"/>
      <c r="G97" s="35"/>
      <c r="H97" s="511">
        <f>IF(Consolidado_A!$G$133=7.6%,-(0.0165+0.076)*F97,0)</f>
        <v>0</v>
      </c>
      <c r="I97" s="35"/>
      <c r="J97" s="505"/>
      <c r="K97" s="506"/>
      <c r="L97" s="453"/>
      <c r="M97" s="513">
        <f t="shared" si="4"/>
        <v>0</v>
      </c>
      <c r="N97" s="512"/>
      <c r="O97" s="513">
        <f t="shared" si="5"/>
        <v>0</v>
      </c>
      <c r="Q97" s="509">
        <f t="shared" si="7"/>
        <v>2.5000000000000001E-3</v>
      </c>
      <c r="S97" s="513">
        <f t="shared" si="6"/>
        <v>0</v>
      </c>
    </row>
    <row r="98" spans="2:19" hidden="1">
      <c r="B98" s="468">
        <v>86</v>
      </c>
      <c r="C98" s="497"/>
      <c r="D98" s="498"/>
      <c r="E98" s="499"/>
      <c r="F98" s="500"/>
      <c r="G98" s="35"/>
      <c r="H98" s="511">
        <f>IF(Consolidado_A!$G$133=7.6%,-(0.0165+0.076)*F98,0)</f>
        <v>0</v>
      </c>
      <c r="I98" s="35"/>
      <c r="J98" s="505"/>
      <c r="K98" s="506"/>
      <c r="L98" s="453"/>
      <c r="M98" s="513">
        <f t="shared" si="4"/>
        <v>0</v>
      </c>
      <c r="N98" s="512"/>
      <c r="O98" s="513">
        <f t="shared" si="5"/>
        <v>0</v>
      </c>
      <c r="Q98" s="509">
        <f t="shared" si="7"/>
        <v>2.5000000000000001E-3</v>
      </c>
      <c r="S98" s="513">
        <f t="shared" si="6"/>
        <v>0</v>
      </c>
    </row>
    <row r="99" spans="2:19" hidden="1">
      <c r="B99" s="468">
        <v>87</v>
      </c>
      <c r="C99" s="497"/>
      <c r="D99" s="498"/>
      <c r="E99" s="499"/>
      <c r="F99" s="500"/>
      <c r="G99" s="35"/>
      <c r="H99" s="511">
        <f>IF(Consolidado_A!$G$133=7.6%,-(0.0165+0.076)*F99,0)</f>
        <v>0</v>
      </c>
      <c r="I99" s="35"/>
      <c r="J99" s="505"/>
      <c r="K99" s="506"/>
      <c r="L99" s="453"/>
      <c r="M99" s="513">
        <f t="shared" si="4"/>
        <v>0</v>
      </c>
      <c r="N99" s="512"/>
      <c r="O99" s="513">
        <f t="shared" si="5"/>
        <v>0</v>
      </c>
      <c r="Q99" s="509">
        <f t="shared" si="7"/>
        <v>2.5000000000000001E-3</v>
      </c>
      <c r="S99" s="513">
        <f t="shared" si="6"/>
        <v>0</v>
      </c>
    </row>
    <row r="100" spans="2:19" hidden="1">
      <c r="B100" s="468">
        <v>88</v>
      </c>
      <c r="C100" s="497"/>
      <c r="D100" s="498"/>
      <c r="E100" s="499"/>
      <c r="F100" s="500"/>
      <c r="G100" s="35"/>
      <c r="H100" s="511">
        <f>IF(Consolidado_A!$G$133=7.6%,-(0.0165+0.076)*F100,0)</f>
        <v>0</v>
      </c>
      <c r="I100" s="35"/>
      <c r="J100" s="505"/>
      <c r="K100" s="506"/>
      <c r="L100" s="453"/>
      <c r="M100" s="513">
        <f t="shared" si="4"/>
        <v>0</v>
      </c>
      <c r="N100" s="512"/>
      <c r="O100" s="513">
        <f t="shared" si="5"/>
        <v>0</v>
      </c>
      <c r="Q100" s="509">
        <f t="shared" si="7"/>
        <v>2.5000000000000001E-3</v>
      </c>
      <c r="S100" s="513">
        <f t="shared" si="6"/>
        <v>0</v>
      </c>
    </row>
    <row r="101" spans="2:19" hidden="1">
      <c r="B101" s="468">
        <v>89</v>
      </c>
      <c r="C101" s="497"/>
      <c r="D101" s="498"/>
      <c r="E101" s="499"/>
      <c r="F101" s="500"/>
      <c r="G101" s="35"/>
      <c r="H101" s="511">
        <f>IF(Consolidado_A!$G$133=7.6%,-(0.0165+0.076)*F101,0)</f>
        <v>0</v>
      </c>
      <c r="I101" s="35"/>
      <c r="J101" s="505"/>
      <c r="K101" s="506"/>
      <c r="L101" s="453"/>
      <c r="M101" s="513">
        <f t="shared" si="4"/>
        <v>0</v>
      </c>
      <c r="N101" s="512"/>
      <c r="O101" s="513">
        <f t="shared" si="5"/>
        <v>0</v>
      </c>
      <c r="Q101" s="509">
        <f t="shared" si="7"/>
        <v>2.5000000000000001E-3</v>
      </c>
      <c r="S101" s="513">
        <f t="shared" si="6"/>
        <v>0</v>
      </c>
    </row>
    <row r="102" spans="2:19" hidden="1">
      <c r="B102" s="468">
        <v>90</v>
      </c>
      <c r="C102" s="497"/>
      <c r="D102" s="498"/>
      <c r="E102" s="499"/>
      <c r="F102" s="500"/>
      <c r="G102" s="35"/>
      <c r="H102" s="511">
        <f>IF(Consolidado_A!$G$133=7.6%,-(0.0165+0.076)*F102,0)</f>
        <v>0</v>
      </c>
      <c r="I102" s="35"/>
      <c r="J102" s="505"/>
      <c r="K102" s="506"/>
      <c r="L102" s="453"/>
      <c r="M102" s="513">
        <f t="shared" si="4"/>
        <v>0</v>
      </c>
      <c r="N102" s="512"/>
      <c r="O102" s="513">
        <f t="shared" si="5"/>
        <v>0</v>
      </c>
      <c r="Q102" s="509">
        <f t="shared" si="7"/>
        <v>2.5000000000000001E-3</v>
      </c>
      <c r="S102" s="513">
        <f t="shared" si="6"/>
        <v>0</v>
      </c>
    </row>
    <row r="103" spans="2:19" hidden="1">
      <c r="B103" s="468">
        <v>91</v>
      </c>
      <c r="C103" s="497"/>
      <c r="D103" s="498"/>
      <c r="E103" s="499"/>
      <c r="F103" s="500"/>
      <c r="G103" s="35"/>
      <c r="H103" s="511">
        <f>IF(Consolidado_A!$G$133=7.6%,-(0.0165+0.076)*F103,0)</f>
        <v>0</v>
      </c>
      <c r="I103" s="35"/>
      <c r="J103" s="505"/>
      <c r="K103" s="506"/>
      <c r="L103" s="453"/>
      <c r="M103" s="513">
        <f t="shared" si="4"/>
        <v>0</v>
      </c>
      <c r="N103" s="512"/>
      <c r="O103" s="513">
        <f t="shared" si="5"/>
        <v>0</v>
      </c>
      <c r="Q103" s="509">
        <f t="shared" si="7"/>
        <v>2.5000000000000001E-3</v>
      </c>
      <c r="S103" s="513">
        <f t="shared" si="6"/>
        <v>0</v>
      </c>
    </row>
    <row r="104" spans="2:19" hidden="1">
      <c r="B104" s="468">
        <v>92</v>
      </c>
      <c r="C104" s="497"/>
      <c r="D104" s="498"/>
      <c r="E104" s="499"/>
      <c r="F104" s="500"/>
      <c r="G104" s="35"/>
      <c r="H104" s="511">
        <f>IF(Consolidado_A!$G$133=7.6%,-(0.0165+0.076)*F104,0)</f>
        <v>0</v>
      </c>
      <c r="I104" s="35"/>
      <c r="J104" s="505"/>
      <c r="K104" s="506"/>
      <c r="L104" s="453"/>
      <c r="M104" s="513">
        <f t="shared" si="4"/>
        <v>0</v>
      </c>
      <c r="N104" s="512"/>
      <c r="O104" s="513">
        <f t="shared" si="5"/>
        <v>0</v>
      </c>
      <c r="Q104" s="509">
        <f t="shared" si="7"/>
        <v>2.5000000000000001E-3</v>
      </c>
      <c r="S104" s="513">
        <f t="shared" si="6"/>
        <v>0</v>
      </c>
    </row>
    <row r="105" spans="2:19" hidden="1">
      <c r="B105" s="468">
        <v>93</v>
      </c>
      <c r="C105" s="497"/>
      <c r="D105" s="498"/>
      <c r="E105" s="499"/>
      <c r="F105" s="500"/>
      <c r="G105" s="35"/>
      <c r="H105" s="511">
        <f>IF(Consolidado_A!$G$133=7.6%,-(0.0165+0.076)*F105,0)</f>
        <v>0</v>
      </c>
      <c r="I105" s="35"/>
      <c r="J105" s="505"/>
      <c r="K105" s="506"/>
      <c r="L105" s="453"/>
      <c r="M105" s="513">
        <f t="shared" si="4"/>
        <v>0</v>
      </c>
      <c r="N105" s="512"/>
      <c r="O105" s="513">
        <f t="shared" si="5"/>
        <v>0</v>
      </c>
      <c r="Q105" s="509">
        <f t="shared" si="7"/>
        <v>2.5000000000000001E-3</v>
      </c>
      <c r="S105" s="513">
        <f t="shared" si="6"/>
        <v>0</v>
      </c>
    </row>
    <row r="106" spans="2:19" hidden="1">
      <c r="B106" s="468">
        <v>94</v>
      </c>
      <c r="C106" s="497"/>
      <c r="D106" s="498"/>
      <c r="E106" s="499"/>
      <c r="F106" s="500"/>
      <c r="G106" s="35"/>
      <c r="H106" s="511">
        <f>IF(Consolidado_A!$G$133=7.6%,-(0.0165+0.076)*F106,0)</f>
        <v>0</v>
      </c>
      <c r="I106" s="35"/>
      <c r="J106" s="505"/>
      <c r="K106" s="506"/>
      <c r="L106" s="453"/>
      <c r="M106" s="513">
        <f t="shared" si="4"/>
        <v>0</v>
      </c>
      <c r="N106" s="512"/>
      <c r="O106" s="513">
        <f t="shared" si="5"/>
        <v>0</v>
      </c>
      <c r="Q106" s="509">
        <f t="shared" si="7"/>
        <v>2.5000000000000001E-3</v>
      </c>
      <c r="S106" s="513">
        <f t="shared" si="6"/>
        <v>0</v>
      </c>
    </row>
    <row r="107" spans="2:19" hidden="1">
      <c r="B107" s="468">
        <v>95</v>
      </c>
      <c r="C107" s="497"/>
      <c r="D107" s="498"/>
      <c r="E107" s="499"/>
      <c r="F107" s="500"/>
      <c r="G107" s="35"/>
      <c r="H107" s="511">
        <f>IF(Consolidado_A!$G$133=7.6%,-(0.0165+0.076)*F107,0)</f>
        <v>0</v>
      </c>
      <c r="I107" s="35"/>
      <c r="J107" s="505"/>
      <c r="K107" s="506"/>
      <c r="L107" s="453"/>
      <c r="M107" s="513">
        <f t="shared" si="4"/>
        <v>0</v>
      </c>
      <c r="N107" s="512"/>
      <c r="O107" s="513">
        <f t="shared" si="5"/>
        <v>0</v>
      </c>
      <c r="Q107" s="509">
        <f t="shared" si="7"/>
        <v>2.5000000000000001E-3</v>
      </c>
      <c r="S107" s="513">
        <f t="shared" si="6"/>
        <v>0</v>
      </c>
    </row>
    <row r="108" spans="2:19" hidden="1">
      <c r="B108" s="468">
        <v>96</v>
      </c>
      <c r="C108" s="497"/>
      <c r="D108" s="498"/>
      <c r="E108" s="499"/>
      <c r="F108" s="500"/>
      <c r="G108" s="35"/>
      <c r="H108" s="511">
        <f>IF(Consolidado_A!$G$133=7.6%,-(0.0165+0.076)*F108,0)</f>
        <v>0</v>
      </c>
      <c r="I108" s="35"/>
      <c r="J108" s="505"/>
      <c r="K108" s="506"/>
      <c r="L108" s="453"/>
      <c r="M108" s="513">
        <f t="shared" si="4"/>
        <v>0</v>
      </c>
      <c r="N108" s="512"/>
      <c r="O108" s="513">
        <f t="shared" si="5"/>
        <v>0</v>
      </c>
      <c r="Q108" s="509">
        <f t="shared" si="7"/>
        <v>2.5000000000000001E-3</v>
      </c>
      <c r="S108" s="513">
        <f t="shared" si="6"/>
        <v>0</v>
      </c>
    </row>
    <row r="109" spans="2:19" hidden="1">
      <c r="B109" s="468">
        <v>97</v>
      </c>
      <c r="C109" s="497"/>
      <c r="D109" s="498"/>
      <c r="E109" s="499"/>
      <c r="F109" s="500"/>
      <c r="G109" s="35"/>
      <c r="H109" s="511">
        <f>IF(Consolidado_A!$G$133=7.6%,-(0.0165+0.076)*F109,0)</f>
        <v>0</v>
      </c>
      <c r="I109" s="35"/>
      <c r="J109" s="505"/>
      <c r="K109" s="506"/>
      <c r="L109" s="453"/>
      <c r="M109" s="513">
        <f t="shared" si="4"/>
        <v>0</v>
      </c>
      <c r="N109" s="512"/>
      <c r="O109" s="513">
        <f t="shared" si="5"/>
        <v>0</v>
      </c>
      <c r="Q109" s="509">
        <f t="shared" si="7"/>
        <v>2.5000000000000001E-3</v>
      </c>
      <c r="S109" s="513">
        <f t="shared" si="6"/>
        <v>0</v>
      </c>
    </row>
    <row r="110" spans="2:19" hidden="1">
      <c r="B110" s="468">
        <v>98</v>
      </c>
      <c r="C110" s="497"/>
      <c r="D110" s="498"/>
      <c r="E110" s="499"/>
      <c r="F110" s="500"/>
      <c r="G110" s="35"/>
      <c r="H110" s="511">
        <f>IF(Consolidado_A!$G$133=7.6%,-(0.0165+0.076)*F110,0)</f>
        <v>0</v>
      </c>
      <c r="I110" s="35"/>
      <c r="J110" s="505"/>
      <c r="K110" s="506"/>
      <c r="L110" s="453"/>
      <c r="M110" s="513">
        <f t="shared" si="4"/>
        <v>0</v>
      </c>
      <c r="N110" s="512"/>
      <c r="O110" s="513">
        <f t="shared" si="5"/>
        <v>0</v>
      </c>
      <c r="Q110" s="509">
        <f t="shared" si="7"/>
        <v>2.5000000000000001E-3</v>
      </c>
      <c r="S110" s="513">
        <f t="shared" si="6"/>
        <v>0</v>
      </c>
    </row>
    <row r="111" spans="2:19" hidden="1">
      <c r="B111" s="468">
        <v>99</v>
      </c>
      <c r="C111" s="497"/>
      <c r="D111" s="498"/>
      <c r="E111" s="499"/>
      <c r="F111" s="500"/>
      <c r="G111" s="35"/>
      <c r="H111" s="511">
        <f>IF(Consolidado_A!$G$133=7.6%,-(0.0165+0.076)*F111,0)</f>
        <v>0</v>
      </c>
      <c r="I111" s="35"/>
      <c r="J111" s="505"/>
      <c r="K111" s="506"/>
      <c r="L111" s="453"/>
      <c r="M111" s="513">
        <f t="shared" si="4"/>
        <v>0</v>
      </c>
      <c r="N111" s="512"/>
      <c r="O111" s="513">
        <f t="shared" si="5"/>
        <v>0</v>
      </c>
      <c r="Q111" s="509">
        <f t="shared" si="7"/>
        <v>2.5000000000000001E-3</v>
      </c>
      <c r="S111" s="513">
        <f t="shared" si="6"/>
        <v>0</v>
      </c>
    </row>
    <row r="112" spans="2:19" hidden="1">
      <c r="B112" s="468">
        <v>100</v>
      </c>
      <c r="C112" s="497"/>
      <c r="D112" s="498"/>
      <c r="E112" s="499"/>
      <c r="F112" s="500"/>
      <c r="G112" s="35"/>
      <c r="H112" s="511">
        <f>IF(Consolidado_A!$G$133=7.6%,-(0.0165+0.076)*F112,0)</f>
        <v>0</v>
      </c>
      <c r="I112" s="35"/>
      <c r="J112" s="505"/>
      <c r="K112" s="506"/>
      <c r="L112" s="453"/>
      <c r="M112" s="513">
        <f t="shared" si="4"/>
        <v>0</v>
      </c>
      <c r="N112" s="512"/>
      <c r="O112" s="513">
        <f t="shared" si="5"/>
        <v>0</v>
      </c>
      <c r="P112" s="453"/>
      <c r="Q112" s="509">
        <f t="shared" si="7"/>
        <v>2.5000000000000001E-3</v>
      </c>
      <c r="R112" s="453"/>
      <c r="S112" s="513">
        <f t="shared" si="6"/>
        <v>0</v>
      </c>
    </row>
    <row r="113" spans="2:19" hidden="1">
      <c r="B113" s="468">
        <v>101</v>
      </c>
      <c r="C113" s="497"/>
      <c r="D113" s="498"/>
      <c r="E113" s="499"/>
      <c r="F113" s="500"/>
      <c r="G113" s="35"/>
      <c r="H113" s="511">
        <f>IF(Consolidado_A!$G$133=7.6%,-(0.0165+0.076)*F113,0)</f>
        <v>0</v>
      </c>
      <c r="I113" s="35"/>
      <c r="J113" s="505"/>
      <c r="K113" s="506"/>
      <c r="L113" s="453"/>
      <c r="M113" s="513">
        <f t="shared" si="4"/>
        <v>0</v>
      </c>
      <c r="N113" s="512"/>
      <c r="O113" s="513">
        <f t="shared" si="5"/>
        <v>0</v>
      </c>
      <c r="Q113" s="509">
        <f t="shared" si="7"/>
        <v>2.5000000000000001E-3</v>
      </c>
      <c r="S113" s="513">
        <f t="shared" si="6"/>
        <v>0</v>
      </c>
    </row>
    <row r="114" spans="2:19" hidden="1">
      <c r="B114" s="468">
        <v>102</v>
      </c>
      <c r="C114" s="497"/>
      <c r="D114" s="498"/>
      <c r="E114" s="499"/>
      <c r="F114" s="500"/>
      <c r="G114" s="35"/>
      <c r="H114" s="511">
        <f>IF(Consolidado_A!$G$133=7.6%,-(0.0165+0.076)*F114,0)</f>
        <v>0</v>
      </c>
      <c r="I114" s="35"/>
      <c r="J114" s="505"/>
      <c r="K114" s="506"/>
      <c r="L114" s="453"/>
      <c r="M114" s="513">
        <f t="shared" si="4"/>
        <v>0</v>
      </c>
      <c r="N114" s="512"/>
      <c r="O114" s="513">
        <f t="shared" si="5"/>
        <v>0</v>
      </c>
      <c r="Q114" s="509">
        <f t="shared" si="7"/>
        <v>2.5000000000000001E-3</v>
      </c>
      <c r="S114" s="513">
        <f t="shared" si="6"/>
        <v>0</v>
      </c>
    </row>
    <row r="115" spans="2:19" hidden="1">
      <c r="B115" s="468">
        <v>103</v>
      </c>
      <c r="C115" s="497"/>
      <c r="D115" s="498"/>
      <c r="E115" s="499"/>
      <c r="F115" s="500"/>
      <c r="G115" s="35"/>
      <c r="H115" s="511">
        <f>IF(Consolidado_A!$G$133=7.6%,-(0.0165+0.076)*F115,0)</f>
        <v>0</v>
      </c>
      <c r="I115" s="35"/>
      <c r="J115" s="505"/>
      <c r="K115" s="506"/>
      <c r="L115" s="453"/>
      <c r="M115" s="513">
        <f t="shared" si="4"/>
        <v>0</v>
      </c>
      <c r="N115" s="512"/>
      <c r="O115" s="513">
        <f t="shared" si="5"/>
        <v>0</v>
      </c>
      <c r="Q115" s="509">
        <f t="shared" si="7"/>
        <v>2.5000000000000001E-3</v>
      </c>
      <c r="S115" s="513">
        <f t="shared" si="6"/>
        <v>0</v>
      </c>
    </row>
    <row r="116" spans="2:19" hidden="1">
      <c r="B116" s="468">
        <v>104</v>
      </c>
      <c r="C116" s="497"/>
      <c r="D116" s="498"/>
      <c r="E116" s="499"/>
      <c r="F116" s="500"/>
      <c r="G116" s="35"/>
      <c r="H116" s="511">
        <f>IF(Consolidado_A!$G$133=7.6%,-(0.0165+0.076)*F116,0)</f>
        <v>0</v>
      </c>
      <c r="I116" s="35"/>
      <c r="J116" s="505"/>
      <c r="K116" s="506"/>
      <c r="L116" s="453"/>
      <c r="M116" s="513">
        <f t="shared" si="4"/>
        <v>0</v>
      </c>
      <c r="N116" s="512"/>
      <c r="O116" s="513">
        <f t="shared" si="5"/>
        <v>0</v>
      </c>
      <c r="Q116" s="509">
        <f t="shared" si="7"/>
        <v>2.5000000000000001E-3</v>
      </c>
      <c r="S116" s="513">
        <f t="shared" si="6"/>
        <v>0</v>
      </c>
    </row>
    <row r="117" spans="2:19" hidden="1">
      <c r="B117" s="468">
        <v>105</v>
      </c>
      <c r="C117" s="497"/>
      <c r="D117" s="498"/>
      <c r="E117" s="499"/>
      <c r="F117" s="500"/>
      <c r="G117" s="35"/>
      <c r="H117" s="511">
        <f>IF(Consolidado_A!$G$133=7.6%,-(0.0165+0.076)*F117,0)</f>
        <v>0</v>
      </c>
      <c r="I117" s="35"/>
      <c r="J117" s="505"/>
      <c r="K117" s="506"/>
      <c r="L117" s="453"/>
      <c r="M117" s="513">
        <f t="shared" si="4"/>
        <v>0</v>
      </c>
      <c r="N117" s="512"/>
      <c r="O117" s="513">
        <f t="shared" si="5"/>
        <v>0</v>
      </c>
      <c r="Q117" s="509">
        <f t="shared" si="7"/>
        <v>2.5000000000000001E-3</v>
      </c>
      <c r="S117" s="513">
        <f t="shared" si="6"/>
        <v>0</v>
      </c>
    </row>
    <row r="118" spans="2:19" hidden="1">
      <c r="B118" s="468">
        <v>106</v>
      </c>
      <c r="C118" s="497"/>
      <c r="D118" s="498"/>
      <c r="E118" s="499"/>
      <c r="F118" s="500"/>
      <c r="G118" s="35"/>
      <c r="H118" s="511">
        <f>IF(Consolidado_A!$G$133=7.6%,-(0.0165+0.076)*F118,0)</f>
        <v>0</v>
      </c>
      <c r="I118" s="35"/>
      <c r="J118" s="505"/>
      <c r="K118" s="506"/>
      <c r="L118" s="453"/>
      <c r="M118" s="513">
        <f t="shared" si="4"/>
        <v>0</v>
      </c>
      <c r="N118" s="512"/>
      <c r="O118" s="513">
        <f t="shared" si="5"/>
        <v>0</v>
      </c>
      <c r="Q118" s="509">
        <f t="shared" si="7"/>
        <v>2.5000000000000001E-3</v>
      </c>
      <c r="S118" s="513">
        <f t="shared" si="6"/>
        <v>0</v>
      </c>
    </row>
    <row r="119" spans="2:19" hidden="1">
      <c r="B119" s="468">
        <v>107</v>
      </c>
      <c r="C119" s="497"/>
      <c r="D119" s="498"/>
      <c r="E119" s="499"/>
      <c r="F119" s="500"/>
      <c r="G119" s="35"/>
      <c r="H119" s="511">
        <f>IF(Consolidado_A!$G$133=7.6%,-(0.0165+0.076)*F119,0)</f>
        <v>0</v>
      </c>
      <c r="I119" s="35"/>
      <c r="J119" s="505"/>
      <c r="K119" s="506"/>
      <c r="L119" s="453"/>
      <c r="M119" s="513">
        <f t="shared" si="4"/>
        <v>0</v>
      </c>
      <c r="N119" s="512"/>
      <c r="O119" s="513">
        <f t="shared" si="5"/>
        <v>0</v>
      </c>
      <c r="Q119" s="509">
        <f t="shared" si="7"/>
        <v>2.5000000000000001E-3</v>
      </c>
      <c r="S119" s="513">
        <f t="shared" si="6"/>
        <v>0</v>
      </c>
    </row>
    <row r="120" spans="2:19" hidden="1">
      <c r="B120" s="468">
        <v>108</v>
      </c>
      <c r="C120" s="497"/>
      <c r="D120" s="498"/>
      <c r="E120" s="499"/>
      <c r="F120" s="500"/>
      <c r="G120" s="35"/>
      <c r="H120" s="511">
        <f>IF(Consolidado_A!$G$133=7.6%,-(0.0165+0.076)*F120,0)</f>
        <v>0</v>
      </c>
      <c r="I120" s="35"/>
      <c r="J120" s="505"/>
      <c r="K120" s="506"/>
      <c r="L120" s="453"/>
      <c r="M120" s="513">
        <f t="shared" si="4"/>
        <v>0</v>
      </c>
      <c r="N120" s="512"/>
      <c r="O120" s="513">
        <f t="shared" si="5"/>
        <v>0</v>
      </c>
      <c r="Q120" s="509">
        <f t="shared" si="7"/>
        <v>2.5000000000000001E-3</v>
      </c>
      <c r="S120" s="513">
        <f t="shared" si="6"/>
        <v>0</v>
      </c>
    </row>
    <row r="121" spans="2:19" hidden="1">
      <c r="B121" s="468">
        <v>109</v>
      </c>
      <c r="C121" s="497"/>
      <c r="D121" s="498"/>
      <c r="E121" s="499"/>
      <c r="F121" s="500"/>
      <c r="G121" s="35"/>
      <c r="H121" s="511">
        <f>IF(Consolidado_A!$G$133=7.6%,-(0.0165+0.076)*F121,0)</f>
        <v>0</v>
      </c>
      <c r="I121" s="35"/>
      <c r="J121" s="505"/>
      <c r="K121" s="506"/>
      <c r="L121" s="453"/>
      <c r="M121" s="513">
        <f t="shared" si="4"/>
        <v>0</v>
      </c>
      <c r="N121" s="512"/>
      <c r="O121" s="513">
        <f t="shared" si="5"/>
        <v>0</v>
      </c>
      <c r="Q121" s="509">
        <f t="shared" si="7"/>
        <v>2.5000000000000001E-3</v>
      </c>
      <c r="S121" s="513">
        <f t="shared" si="6"/>
        <v>0</v>
      </c>
    </row>
    <row r="122" spans="2:19" hidden="1">
      <c r="B122" s="468">
        <v>110</v>
      </c>
      <c r="C122" s="497"/>
      <c r="D122" s="498"/>
      <c r="E122" s="499"/>
      <c r="F122" s="500"/>
      <c r="G122" s="35"/>
      <c r="H122" s="511">
        <f>IF(Consolidado_A!$G$133=7.6%,-(0.0165+0.076)*F122,0)</f>
        <v>0</v>
      </c>
      <c r="I122" s="35"/>
      <c r="J122" s="505"/>
      <c r="K122" s="506"/>
      <c r="L122" s="453"/>
      <c r="M122" s="513">
        <f t="shared" si="4"/>
        <v>0</v>
      </c>
      <c r="N122" s="512"/>
      <c r="O122" s="513">
        <f t="shared" si="5"/>
        <v>0</v>
      </c>
      <c r="Q122" s="509">
        <f t="shared" si="7"/>
        <v>2.5000000000000001E-3</v>
      </c>
      <c r="S122" s="513">
        <f t="shared" si="6"/>
        <v>0</v>
      </c>
    </row>
    <row r="123" spans="2:19" hidden="1">
      <c r="B123" s="468">
        <v>111</v>
      </c>
      <c r="C123" s="497"/>
      <c r="D123" s="498"/>
      <c r="E123" s="499"/>
      <c r="F123" s="500"/>
      <c r="G123" s="35"/>
      <c r="H123" s="511">
        <f>IF(Consolidado_A!$G$133=7.6%,-(0.0165+0.076)*F123,0)</f>
        <v>0</v>
      </c>
      <c r="I123" s="35"/>
      <c r="J123" s="505"/>
      <c r="K123" s="506"/>
      <c r="L123" s="453"/>
      <c r="M123" s="513">
        <f t="shared" si="4"/>
        <v>0</v>
      </c>
      <c r="N123" s="512"/>
      <c r="O123" s="513">
        <f t="shared" si="5"/>
        <v>0</v>
      </c>
      <c r="Q123" s="509">
        <f t="shared" si="7"/>
        <v>2.5000000000000001E-3</v>
      </c>
      <c r="S123" s="513">
        <f t="shared" si="6"/>
        <v>0</v>
      </c>
    </row>
    <row r="124" spans="2:19" hidden="1">
      <c r="B124" s="468">
        <v>112</v>
      </c>
      <c r="C124" s="497"/>
      <c r="D124" s="498"/>
      <c r="E124" s="499"/>
      <c r="F124" s="500"/>
      <c r="G124" s="35"/>
      <c r="H124" s="511">
        <f>IF(Consolidado_A!$G$133=7.6%,-(0.0165+0.076)*F124,0)</f>
        <v>0</v>
      </c>
      <c r="I124" s="35"/>
      <c r="J124" s="505"/>
      <c r="K124" s="506"/>
      <c r="L124" s="453"/>
      <c r="M124" s="513">
        <f t="shared" si="4"/>
        <v>0</v>
      </c>
      <c r="N124" s="512"/>
      <c r="O124" s="513">
        <f t="shared" si="5"/>
        <v>0</v>
      </c>
      <c r="Q124" s="509">
        <f t="shared" si="7"/>
        <v>2.5000000000000001E-3</v>
      </c>
      <c r="S124" s="513">
        <f t="shared" si="6"/>
        <v>0</v>
      </c>
    </row>
    <row r="125" spans="2:19" hidden="1">
      <c r="B125" s="468">
        <v>113</v>
      </c>
      <c r="C125" s="497"/>
      <c r="D125" s="498"/>
      <c r="E125" s="499"/>
      <c r="F125" s="500"/>
      <c r="G125" s="35"/>
      <c r="H125" s="511">
        <f>IF(Consolidado_A!$G$133=7.6%,-(0.0165+0.076)*F125,0)</f>
        <v>0</v>
      </c>
      <c r="I125" s="35"/>
      <c r="J125" s="505"/>
      <c r="K125" s="506"/>
      <c r="L125" s="453"/>
      <c r="M125" s="513">
        <f t="shared" si="4"/>
        <v>0</v>
      </c>
      <c r="N125" s="512"/>
      <c r="O125" s="513">
        <f t="shared" si="5"/>
        <v>0</v>
      </c>
      <c r="Q125" s="509">
        <f t="shared" si="7"/>
        <v>2.5000000000000001E-3</v>
      </c>
      <c r="S125" s="513">
        <f t="shared" si="6"/>
        <v>0</v>
      </c>
    </row>
    <row r="126" spans="2:19" hidden="1">
      <c r="B126" s="468">
        <v>114</v>
      </c>
      <c r="C126" s="497"/>
      <c r="D126" s="498"/>
      <c r="E126" s="499"/>
      <c r="F126" s="500"/>
      <c r="G126" s="35"/>
      <c r="H126" s="511">
        <f>IF(Consolidado_A!$G$133=7.6%,-(0.0165+0.076)*F126,0)</f>
        <v>0</v>
      </c>
      <c r="I126" s="35"/>
      <c r="J126" s="505"/>
      <c r="K126" s="506"/>
      <c r="L126" s="453"/>
      <c r="M126" s="513">
        <f t="shared" si="4"/>
        <v>0</v>
      </c>
      <c r="N126" s="512"/>
      <c r="O126" s="513">
        <f t="shared" si="5"/>
        <v>0</v>
      </c>
      <c r="P126" s="453"/>
      <c r="Q126" s="509">
        <f t="shared" si="7"/>
        <v>2.5000000000000001E-3</v>
      </c>
      <c r="R126" s="453"/>
      <c r="S126" s="513">
        <f t="shared" si="6"/>
        <v>0</v>
      </c>
    </row>
    <row r="127" spans="2:19" hidden="1">
      <c r="B127" s="468">
        <v>115</v>
      </c>
      <c r="C127" s="497"/>
      <c r="D127" s="498"/>
      <c r="E127" s="499"/>
      <c r="F127" s="500"/>
      <c r="G127" s="35"/>
      <c r="H127" s="511">
        <f>IF(Consolidado_A!$G$133=7.6%,-(0.0165+0.076)*F127,0)</f>
        <v>0</v>
      </c>
      <c r="I127" s="35"/>
      <c r="J127" s="505"/>
      <c r="K127" s="506"/>
      <c r="L127" s="453"/>
      <c r="M127" s="513">
        <f t="shared" si="4"/>
        <v>0</v>
      </c>
      <c r="N127" s="512"/>
      <c r="O127" s="513">
        <f t="shared" si="5"/>
        <v>0</v>
      </c>
      <c r="P127" s="453"/>
      <c r="Q127" s="509">
        <f t="shared" si="7"/>
        <v>2.5000000000000001E-3</v>
      </c>
      <c r="R127" s="453"/>
      <c r="S127" s="513">
        <f t="shared" si="6"/>
        <v>0</v>
      </c>
    </row>
    <row r="128" spans="2:19" hidden="1">
      <c r="B128" s="468">
        <v>116</v>
      </c>
      <c r="C128" s="497"/>
      <c r="D128" s="498"/>
      <c r="E128" s="499"/>
      <c r="F128" s="500"/>
      <c r="G128" s="35"/>
      <c r="H128" s="511">
        <f>IF(Consolidado_A!$G$133=7.6%,-(0.0165+0.076)*F128,0)</f>
        <v>0</v>
      </c>
      <c r="I128" s="35"/>
      <c r="J128" s="505"/>
      <c r="K128" s="506"/>
      <c r="L128" s="453"/>
      <c r="M128" s="513">
        <f t="shared" si="4"/>
        <v>0</v>
      </c>
      <c r="N128" s="512"/>
      <c r="O128" s="513">
        <f t="shared" si="5"/>
        <v>0</v>
      </c>
      <c r="P128" s="453"/>
      <c r="Q128" s="509">
        <f t="shared" si="7"/>
        <v>2.5000000000000001E-3</v>
      </c>
      <c r="R128" s="453"/>
      <c r="S128" s="513">
        <f t="shared" si="6"/>
        <v>0</v>
      </c>
    </row>
    <row r="129" spans="2:19" hidden="1">
      <c r="B129" s="468">
        <v>117</v>
      </c>
      <c r="C129" s="497"/>
      <c r="D129" s="498"/>
      <c r="E129" s="499"/>
      <c r="F129" s="500"/>
      <c r="G129" s="35"/>
      <c r="H129" s="511">
        <f>IF(Consolidado_A!$G$133=7.6%,-(0.0165+0.076)*F129,0)</f>
        <v>0</v>
      </c>
      <c r="I129" s="35"/>
      <c r="J129" s="505"/>
      <c r="K129" s="506"/>
      <c r="L129" s="453"/>
      <c r="M129" s="513">
        <f t="shared" si="4"/>
        <v>0</v>
      </c>
      <c r="N129" s="512"/>
      <c r="O129" s="513">
        <f t="shared" si="5"/>
        <v>0</v>
      </c>
      <c r="P129" s="453"/>
      <c r="Q129" s="509">
        <f t="shared" si="7"/>
        <v>2.5000000000000001E-3</v>
      </c>
      <c r="R129" s="453"/>
      <c r="S129" s="513">
        <f t="shared" si="6"/>
        <v>0</v>
      </c>
    </row>
    <row r="130" spans="2:19" hidden="1">
      <c r="B130" s="468">
        <v>118</v>
      </c>
      <c r="C130" s="497"/>
      <c r="D130" s="498"/>
      <c r="E130" s="499"/>
      <c r="F130" s="500"/>
      <c r="G130" s="35"/>
      <c r="H130" s="511">
        <f>IF(Consolidado_A!$G$133=7.6%,-(0.0165+0.076)*F130,0)</f>
        <v>0</v>
      </c>
      <c r="I130" s="35"/>
      <c r="J130" s="505"/>
      <c r="K130" s="506"/>
      <c r="L130" s="453"/>
      <c r="M130" s="513">
        <f t="shared" si="4"/>
        <v>0</v>
      </c>
      <c r="N130" s="512"/>
      <c r="O130" s="513">
        <f t="shared" si="5"/>
        <v>0</v>
      </c>
      <c r="P130" s="453"/>
      <c r="Q130" s="509">
        <f t="shared" si="7"/>
        <v>2.5000000000000001E-3</v>
      </c>
      <c r="R130" s="453"/>
      <c r="S130" s="513">
        <f t="shared" si="6"/>
        <v>0</v>
      </c>
    </row>
    <row r="131" spans="2:19" hidden="1">
      <c r="B131" s="468">
        <v>119</v>
      </c>
      <c r="C131" s="497"/>
      <c r="D131" s="498"/>
      <c r="E131" s="499"/>
      <c r="F131" s="500"/>
      <c r="G131" s="35"/>
      <c r="H131" s="511">
        <f>IF(Consolidado_A!$G$133=7.6%,-(0.0165+0.076)*F131,0)</f>
        <v>0</v>
      </c>
      <c r="I131" s="35"/>
      <c r="J131" s="505"/>
      <c r="K131" s="506"/>
      <c r="L131" s="453"/>
      <c r="M131" s="513">
        <f t="shared" si="4"/>
        <v>0</v>
      </c>
      <c r="N131" s="512"/>
      <c r="O131" s="513">
        <f t="shared" si="5"/>
        <v>0</v>
      </c>
      <c r="P131" s="453"/>
      <c r="Q131" s="509">
        <f t="shared" si="7"/>
        <v>2.5000000000000001E-3</v>
      </c>
      <c r="R131" s="453"/>
      <c r="S131" s="513">
        <f t="shared" si="6"/>
        <v>0</v>
      </c>
    </row>
    <row r="132" spans="2:19" hidden="1">
      <c r="B132" s="468">
        <v>120</v>
      </c>
      <c r="C132" s="497"/>
      <c r="D132" s="498"/>
      <c r="E132" s="499"/>
      <c r="F132" s="500"/>
      <c r="G132" s="35"/>
      <c r="H132" s="511">
        <f>IF(Consolidado_A!$G$133=7.6%,-(0.0165+0.076)*F132,0)</f>
        <v>0</v>
      </c>
      <c r="I132" s="35"/>
      <c r="J132" s="505"/>
      <c r="K132" s="506"/>
      <c r="L132" s="453"/>
      <c r="M132" s="513">
        <f t="shared" si="4"/>
        <v>0</v>
      </c>
      <c r="N132" s="512"/>
      <c r="O132" s="513">
        <f t="shared" si="5"/>
        <v>0</v>
      </c>
      <c r="P132" s="453"/>
      <c r="Q132" s="509">
        <f t="shared" si="7"/>
        <v>2.5000000000000001E-3</v>
      </c>
      <c r="R132" s="453"/>
      <c r="S132" s="513">
        <f t="shared" si="6"/>
        <v>0</v>
      </c>
    </row>
    <row r="133" spans="2:19" hidden="1">
      <c r="B133" s="468">
        <v>121</v>
      </c>
      <c r="C133" s="497"/>
      <c r="D133" s="498"/>
      <c r="E133" s="499"/>
      <c r="F133" s="500"/>
      <c r="G133" s="35"/>
      <c r="H133" s="511">
        <f>IF(Consolidado_A!$G$133=7.6%,-(0.0165+0.076)*F133,0)</f>
        <v>0</v>
      </c>
      <c r="I133" s="35"/>
      <c r="J133" s="505"/>
      <c r="K133" s="506"/>
      <c r="L133" s="453"/>
      <c r="M133" s="513">
        <f t="shared" si="4"/>
        <v>0</v>
      </c>
      <c r="N133" s="512"/>
      <c r="O133" s="513">
        <f t="shared" si="5"/>
        <v>0</v>
      </c>
      <c r="P133" s="453"/>
      <c r="Q133" s="509">
        <f t="shared" si="7"/>
        <v>2.5000000000000001E-3</v>
      </c>
      <c r="R133" s="453"/>
      <c r="S133" s="513">
        <f t="shared" si="6"/>
        <v>0</v>
      </c>
    </row>
    <row r="134" spans="2:19" hidden="1">
      <c r="B134" s="468">
        <v>122</v>
      </c>
      <c r="C134" s="497"/>
      <c r="D134" s="498"/>
      <c r="E134" s="499"/>
      <c r="F134" s="500"/>
      <c r="G134" s="35"/>
      <c r="H134" s="511">
        <f>IF(Consolidado_A!$G$133=7.6%,-(0.0165+0.076)*F134,0)</f>
        <v>0</v>
      </c>
      <c r="I134" s="35"/>
      <c r="J134" s="505"/>
      <c r="K134" s="506"/>
      <c r="L134" s="453"/>
      <c r="M134" s="513">
        <f t="shared" si="4"/>
        <v>0</v>
      </c>
      <c r="N134" s="512"/>
      <c r="O134" s="513">
        <f t="shared" si="5"/>
        <v>0</v>
      </c>
      <c r="P134" s="453"/>
      <c r="Q134" s="509">
        <f t="shared" si="7"/>
        <v>2.5000000000000001E-3</v>
      </c>
      <c r="R134" s="453"/>
      <c r="S134" s="513">
        <f t="shared" si="6"/>
        <v>0</v>
      </c>
    </row>
    <row r="135" spans="2:19" hidden="1">
      <c r="B135" s="468">
        <v>123</v>
      </c>
      <c r="C135" s="497"/>
      <c r="D135" s="498"/>
      <c r="E135" s="499"/>
      <c r="F135" s="500"/>
      <c r="G135" s="35"/>
      <c r="H135" s="511">
        <f>IF(Consolidado_A!$G$133=7.6%,-(0.0165+0.076)*F135,0)</f>
        <v>0</v>
      </c>
      <c r="I135" s="35"/>
      <c r="J135" s="505"/>
      <c r="K135" s="506"/>
      <c r="L135" s="453"/>
      <c r="M135" s="513">
        <f t="shared" si="4"/>
        <v>0</v>
      </c>
      <c r="N135" s="512"/>
      <c r="O135" s="513">
        <f t="shared" si="5"/>
        <v>0</v>
      </c>
      <c r="P135" s="453"/>
      <c r="Q135" s="509">
        <f t="shared" si="7"/>
        <v>2.5000000000000001E-3</v>
      </c>
      <c r="R135" s="453"/>
      <c r="S135" s="513">
        <f t="shared" si="6"/>
        <v>0</v>
      </c>
    </row>
    <row r="136" spans="2:19" hidden="1">
      <c r="B136" s="468">
        <v>124</v>
      </c>
      <c r="C136" s="497"/>
      <c r="D136" s="498"/>
      <c r="E136" s="499"/>
      <c r="F136" s="500"/>
      <c r="G136" s="35"/>
      <c r="H136" s="511">
        <f>IF(Consolidado_A!$G$133=7.6%,-(0.0165+0.076)*F136,0)</f>
        <v>0</v>
      </c>
      <c r="I136" s="35"/>
      <c r="J136" s="505"/>
      <c r="K136" s="506"/>
      <c r="L136" s="453"/>
      <c r="M136" s="513">
        <f t="shared" si="4"/>
        <v>0</v>
      </c>
      <c r="N136" s="512"/>
      <c r="O136" s="513">
        <f t="shared" si="5"/>
        <v>0</v>
      </c>
      <c r="P136" s="453"/>
      <c r="Q136" s="509">
        <f t="shared" si="7"/>
        <v>2.5000000000000001E-3</v>
      </c>
      <c r="R136" s="453"/>
      <c r="S136" s="513">
        <f t="shared" si="6"/>
        <v>0</v>
      </c>
    </row>
    <row r="137" spans="2:19" hidden="1">
      <c r="B137" s="468">
        <v>125</v>
      </c>
      <c r="C137" s="497"/>
      <c r="D137" s="498"/>
      <c r="E137" s="499"/>
      <c r="F137" s="500"/>
      <c r="G137" s="35"/>
      <c r="H137" s="511">
        <f>IF(Consolidado_A!$G$133=7.6%,-(0.0165+0.076)*F137,0)</f>
        <v>0</v>
      </c>
      <c r="I137" s="35"/>
      <c r="J137" s="505"/>
      <c r="K137" s="506"/>
      <c r="L137" s="453"/>
      <c r="M137" s="513">
        <f t="shared" si="4"/>
        <v>0</v>
      </c>
      <c r="N137" s="512"/>
      <c r="O137" s="513">
        <f t="shared" si="5"/>
        <v>0</v>
      </c>
      <c r="Q137" s="509">
        <f t="shared" si="7"/>
        <v>2.5000000000000001E-3</v>
      </c>
      <c r="S137" s="513">
        <f t="shared" si="6"/>
        <v>0</v>
      </c>
    </row>
    <row r="138" spans="2:19" hidden="1">
      <c r="B138" s="468">
        <v>126</v>
      </c>
      <c r="C138" s="497"/>
      <c r="D138" s="498"/>
      <c r="E138" s="499"/>
      <c r="F138" s="500"/>
      <c r="G138" s="35"/>
      <c r="H138" s="511">
        <f>IF(Consolidado_A!$G$133=7.6%,-(0.0165+0.076)*F138,0)</f>
        <v>0</v>
      </c>
      <c r="I138" s="35"/>
      <c r="J138" s="505"/>
      <c r="K138" s="506"/>
      <c r="L138" s="453"/>
      <c r="M138" s="513">
        <f t="shared" si="4"/>
        <v>0</v>
      </c>
      <c r="N138" s="512"/>
      <c r="O138" s="513">
        <f t="shared" si="5"/>
        <v>0</v>
      </c>
      <c r="Q138" s="509">
        <f t="shared" si="7"/>
        <v>2.5000000000000001E-3</v>
      </c>
      <c r="S138" s="513">
        <f t="shared" si="6"/>
        <v>0</v>
      </c>
    </row>
    <row r="139" spans="2:19" hidden="1">
      <c r="B139" s="468">
        <v>127</v>
      </c>
      <c r="C139" s="497"/>
      <c r="D139" s="498"/>
      <c r="E139" s="499"/>
      <c r="F139" s="500"/>
      <c r="G139" s="35"/>
      <c r="H139" s="511">
        <f>IF(Consolidado_A!$G$133=7.6%,-(0.0165+0.076)*F139,0)</f>
        <v>0</v>
      </c>
      <c r="I139" s="35"/>
      <c r="J139" s="505"/>
      <c r="K139" s="506"/>
      <c r="L139" s="453"/>
      <c r="M139" s="513">
        <f t="shared" si="4"/>
        <v>0</v>
      </c>
      <c r="N139" s="512"/>
      <c r="O139" s="513">
        <f t="shared" si="5"/>
        <v>0</v>
      </c>
      <c r="Q139" s="509">
        <f t="shared" si="7"/>
        <v>2.5000000000000001E-3</v>
      </c>
      <c r="S139" s="513">
        <f t="shared" si="6"/>
        <v>0</v>
      </c>
    </row>
    <row r="140" spans="2:19" hidden="1">
      <c r="B140" s="468">
        <v>128</v>
      </c>
      <c r="C140" s="497"/>
      <c r="D140" s="498"/>
      <c r="E140" s="499"/>
      <c r="F140" s="500"/>
      <c r="G140" s="35"/>
      <c r="H140" s="511">
        <f>IF(Consolidado_A!$G$133=7.6%,-(0.0165+0.076)*F140,0)</f>
        <v>0</v>
      </c>
      <c r="I140" s="35"/>
      <c r="J140" s="505"/>
      <c r="K140" s="506"/>
      <c r="L140" s="453"/>
      <c r="M140" s="513">
        <f t="shared" si="4"/>
        <v>0</v>
      </c>
      <c r="N140" s="512"/>
      <c r="O140" s="513">
        <f t="shared" si="5"/>
        <v>0</v>
      </c>
      <c r="Q140" s="509">
        <f t="shared" si="7"/>
        <v>2.5000000000000001E-3</v>
      </c>
      <c r="S140" s="513">
        <f t="shared" si="6"/>
        <v>0</v>
      </c>
    </row>
    <row r="141" spans="2:19" hidden="1">
      <c r="B141" s="468">
        <v>129</v>
      </c>
      <c r="C141" s="497"/>
      <c r="D141" s="498"/>
      <c r="E141" s="499"/>
      <c r="F141" s="500"/>
      <c r="G141" s="35"/>
      <c r="H141" s="511">
        <f>IF(Consolidado_A!$G$133=7.6%,-(0.0165+0.076)*F141,0)</f>
        <v>0</v>
      </c>
      <c r="I141" s="35"/>
      <c r="J141" s="505"/>
      <c r="K141" s="506"/>
      <c r="L141" s="453"/>
      <c r="M141" s="513">
        <f t="shared" ref="M141:M204" si="8">IF(E141&gt;0,(F141+H141)-J141,0)</f>
        <v>0</v>
      </c>
      <c r="N141" s="512"/>
      <c r="O141" s="513">
        <f t="shared" ref="O141:O204" si="9">IF(E141=0,0,(M141/K141)*E141)</f>
        <v>0</v>
      </c>
      <c r="Q141" s="509">
        <f t="shared" si="7"/>
        <v>2.5000000000000001E-3</v>
      </c>
      <c r="S141" s="513">
        <f t="shared" ref="S141:S204" si="10">E141*(M141*Q141)</f>
        <v>0</v>
      </c>
    </row>
    <row r="142" spans="2:19" hidden="1">
      <c r="B142" s="468">
        <v>130</v>
      </c>
      <c r="C142" s="497"/>
      <c r="D142" s="498"/>
      <c r="E142" s="499"/>
      <c r="F142" s="500"/>
      <c r="G142" s="35"/>
      <c r="H142" s="511">
        <f>IF(Consolidado_A!$G$133=7.6%,-(0.0165+0.076)*F142,0)</f>
        <v>0</v>
      </c>
      <c r="I142" s="35"/>
      <c r="J142" s="505"/>
      <c r="K142" s="506"/>
      <c r="L142" s="453"/>
      <c r="M142" s="513">
        <f t="shared" si="8"/>
        <v>0</v>
      </c>
      <c r="N142" s="512"/>
      <c r="O142" s="513">
        <f t="shared" si="9"/>
        <v>0</v>
      </c>
      <c r="Q142" s="509">
        <f t="shared" ref="Q142:Q205" si="11">Q141</f>
        <v>2.5000000000000001E-3</v>
      </c>
      <c r="S142" s="513">
        <f t="shared" si="10"/>
        <v>0</v>
      </c>
    </row>
    <row r="143" spans="2:19" hidden="1">
      <c r="B143" s="468">
        <v>131</v>
      </c>
      <c r="C143" s="497"/>
      <c r="D143" s="498"/>
      <c r="E143" s="499"/>
      <c r="F143" s="500"/>
      <c r="G143" s="35"/>
      <c r="H143" s="511">
        <f>IF(Consolidado_A!$G$133=7.6%,-(0.0165+0.076)*F143,0)</f>
        <v>0</v>
      </c>
      <c r="I143" s="35"/>
      <c r="J143" s="505"/>
      <c r="K143" s="506"/>
      <c r="L143" s="453"/>
      <c r="M143" s="513">
        <f t="shared" si="8"/>
        <v>0</v>
      </c>
      <c r="N143" s="512"/>
      <c r="O143" s="513">
        <f t="shared" si="9"/>
        <v>0</v>
      </c>
      <c r="Q143" s="509">
        <f t="shared" si="11"/>
        <v>2.5000000000000001E-3</v>
      </c>
      <c r="S143" s="513">
        <f t="shared" si="10"/>
        <v>0</v>
      </c>
    </row>
    <row r="144" spans="2:19" hidden="1">
      <c r="B144" s="468">
        <v>132</v>
      </c>
      <c r="C144" s="497"/>
      <c r="D144" s="498"/>
      <c r="E144" s="499"/>
      <c r="F144" s="500"/>
      <c r="G144" s="35"/>
      <c r="H144" s="511">
        <f>IF(Consolidado_A!$G$133=7.6%,-(0.0165+0.076)*F144,0)</f>
        <v>0</v>
      </c>
      <c r="I144" s="35"/>
      <c r="J144" s="505"/>
      <c r="K144" s="506"/>
      <c r="L144" s="453"/>
      <c r="M144" s="513">
        <f t="shared" si="8"/>
        <v>0</v>
      </c>
      <c r="N144" s="512"/>
      <c r="O144" s="513">
        <f t="shared" si="9"/>
        <v>0</v>
      </c>
      <c r="Q144" s="509">
        <f t="shared" si="11"/>
        <v>2.5000000000000001E-3</v>
      </c>
      <c r="S144" s="513">
        <f t="shared" si="10"/>
        <v>0</v>
      </c>
    </row>
    <row r="145" spans="2:19" hidden="1">
      <c r="B145" s="468">
        <v>133</v>
      </c>
      <c r="C145" s="497"/>
      <c r="D145" s="498"/>
      <c r="E145" s="499"/>
      <c r="F145" s="500"/>
      <c r="G145" s="35"/>
      <c r="H145" s="511">
        <f>IF(Consolidado_A!$G$133=7.6%,-(0.0165+0.076)*F145,0)</f>
        <v>0</v>
      </c>
      <c r="I145" s="35"/>
      <c r="J145" s="505"/>
      <c r="K145" s="506"/>
      <c r="L145" s="453"/>
      <c r="M145" s="513">
        <f t="shared" si="8"/>
        <v>0</v>
      </c>
      <c r="N145" s="512"/>
      <c r="O145" s="513">
        <f t="shared" si="9"/>
        <v>0</v>
      </c>
      <c r="Q145" s="509">
        <f t="shared" si="11"/>
        <v>2.5000000000000001E-3</v>
      </c>
      <c r="S145" s="513">
        <f t="shared" si="10"/>
        <v>0</v>
      </c>
    </row>
    <row r="146" spans="2:19" hidden="1">
      <c r="B146" s="468">
        <v>134</v>
      </c>
      <c r="C146" s="497"/>
      <c r="D146" s="498"/>
      <c r="E146" s="499"/>
      <c r="F146" s="500"/>
      <c r="G146" s="35"/>
      <c r="H146" s="511">
        <f>IF(Consolidado_A!$G$133=7.6%,-(0.0165+0.076)*F146,0)</f>
        <v>0</v>
      </c>
      <c r="I146" s="35"/>
      <c r="J146" s="505"/>
      <c r="K146" s="506"/>
      <c r="L146" s="453"/>
      <c r="M146" s="513">
        <f t="shared" si="8"/>
        <v>0</v>
      </c>
      <c r="N146" s="512"/>
      <c r="O146" s="513">
        <f t="shared" si="9"/>
        <v>0</v>
      </c>
      <c r="Q146" s="509">
        <f t="shared" si="11"/>
        <v>2.5000000000000001E-3</v>
      </c>
      <c r="S146" s="513">
        <f t="shared" si="10"/>
        <v>0</v>
      </c>
    </row>
    <row r="147" spans="2:19" hidden="1">
      <c r="B147" s="468">
        <v>135</v>
      </c>
      <c r="C147" s="497"/>
      <c r="D147" s="498"/>
      <c r="E147" s="499"/>
      <c r="F147" s="500"/>
      <c r="G147" s="35"/>
      <c r="H147" s="511">
        <f>IF(Consolidado_A!$G$133=7.6%,-(0.0165+0.076)*F147,0)</f>
        <v>0</v>
      </c>
      <c r="I147" s="35"/>
      <c r="J147" s="505"/>
      <c r="K147" s="506"/>
      <c r="L147" s="453"/>
      <c r="M147" s="513">
        <f t="shared" si="8"/>
        <v>0</v>
      </c>
      <c r="N147" s="512"/>
      <c r="O147" s="513">
        <f t="shared" si="9"/>
        <v>0</v>
      </c>
      <c r="Q147" s="509">
        <f t="shared" si="11"/>
        <v>2.5000000000000001E-3</v>
      </c>
      <c r="S147" s="513">
        <f t="shared" si="10"/>
        <v>0</v>
      </c>
    </row>
    <row r="148" spans="2:19" hidden="1">
      <c r="B148" s="468">
        <v>136</v>
      </c>
      <c r="C148" s="497"/>
      <c r="D148" s="498"/>
      <c r="E148" s="499"/>
      <c r="F148" s="500"/>
      <c r="G148" s="35"/>
      <c r="H148" s="511">
        <f>IF(Consolidado_A!$G$133=7.6%,-(0.0165+0.076)*F148,0)</f>
        <v>0</v>
      </c>
      <c r="I148" s="35"/>
      <c r="J148" s="505"/>
      <c r="K148" s="506"/>
      <c r="L148" s="453"/>
      <c r="M148" s="513">
        <f t="shared" si="8"/>
        <v>0</v>
      </c>
      <c r="N148" s="512"/>
      <c r="O148" s="513">
        <f t="shared" si="9"/>
        <v>0</v>
      </c>
      <c r="Q148" s="509">
        <f t="shared" si="11"/>
        <v>2.5000000000000001E-3</v>
      </c>
      <c r="S148" s="513">
        <f t="shared" si="10"/>
        <v>0</v>
      </c>
    </row>
    <row r="149" spans="2:19" hidden="1">
      <c r="B149" s="468">
        <v>137</v>
      </c>
      <c r="C149" s="497"/>
      <c r="D149" s="498"/>
      <c r="E149" s="499"/>
      <c r="F149" s="500"/>
      <c r="G149" s="35"/>
      <c r="H149" s="511">
        <f>IF(Consolidado_A!$G$133=7.6%,-(0.0165+0.076)*F149,0)</f>
        <v>0</v>
      </c>
      <c r="I149" s="35"/>
      <c r="J149" s="505"/>
      <c r="K149" s="506"/>
      <c r="L149" s="453"/>
      <c r="M149" s="513">
        <f t="shared" si="8"/>
        <v>0</v>
      </c>
      <c r="N149" s="512"/>
      <c r="O149" s="513">
        <f t="shared" si="9"/>
        <v>0</v>
      </c>
      <c r="Q149" s="509">
        <f t="shared" si="11"/>
        <v>2.5000000000000001E-3</v>
      </c>
      <c r="S149" s="513">
        <f t="shared" si="10"/>
        <v>0</v>
      </c>
    </row>
    <row r="150" spans="2:19" hidden="1">
      <c r="B150" s="468">
        <v>138</v>
      </c>
      <c r="C150" s="497"/>
      <c r="D150" s="498"/>
      <c r="E150" s="499"/>
      <c r="F150" s="500"/>
      <c r="G150" s="35"/>
      <c r="H150" s="511">
        <f>IF(Consolidado_A!$G$133=7.6%,-(0.0165+0.076)*F150,0)</f>
        <v>0</v>
      </c>
      <c r="I150" s="35"/>
      <c r="J150" s="505"/>
      <c r="K150" s="506"/>
      <c r="L150" s="453"/>
      <c r="M150" s="513">
        <f t="shared" si="8"/>
        <v>0</v>
      </c>
      <c r="N150" s="512"/>
      <c r="O150" s="513">
        <f t="shared" si="9"/>
        <v>0</v>
      </c>
      <c r="Q150" s="509">
        <f t="shared" si="11"/>
        <v>2.5000000000000001E-3</v>
      </c>
      <c r="S150" s="513">
        <f t="shared" si="10"/>
        <v>0</v>
      </c>
    </row>
    <row r="151" spans="2:19" hidden="1">
      <c r="B151" s="468">
        <v>139</v>
      </c>
      <c r="C151" s="497"/>
      <c r="D151" s="498"/>
      <c r="E151" s="499"/>
      <c r="F151" s="500"/>
      <c r="G151" s="35"/>
      <c r="H151" s="511">
        <f>IF(Consolidado_A!$G$133=7.6%,-(0.0165+0.076)*F151,0)</f>
        <v>0</v>
      </c>
      <c r="I151" s="35"/>
      <c r="J151" s="505"/>
      <c r="K151" s="506"/>
      <c r="L151" s="453"/>
      <c r="M151" s="513">
        <f t="shared" si="8"/>
        <v>0</v>
      </c>
      <c r="N151" s="512"/>
      <c r="O151" s="513">
        <f t="shared" si="9"/>
        <v>0</v>
      </c>
      <c r="Q151" s="509">
        <f t="shared" si="11"/>
        <v>2.5000000000000001E-3</v>
      </c>
      <c r="S151" s="513">
        <f t="shared" si="10"/>
        <v>0</v>
      </c>
    </row>
    <row r="152" spans="2:19" hidden="1">
      <c r="B152" s="468">
        <v>140</v>
      </c>
      <c r="C152" s="497"/>
      <c r="D152" s="498"/>
      <c r="E152" s="499"/>
      <c r="F152" s="500"/>
      <c r="G152" s="35"/>
      <c r="H152" s="511">
        <f>IF(Consolidado_A!$G$133=7.6%,-(0.0165+0.076)*F152,0)</f>
        <v>0</v>
      </c>
      <c r="I152" s="35"/>
      <c r="J152" s="505"/>
      <c r="K152" s="506"/>
      <c r="L152" s="453"/>
      <c r="M152" s="513">
        <f t="shared" si="8"/>
        <v>0</v>
      </c>
      <c r="N152" s="512"/>
      <c r="O152" s="513">
        <f t="shared" si="9"/>
        <v>0</v>
      </c>
      <c r="Q152" s="509">
        <f t="shared" si="11"/>
        <v>2.5000000000000001E-3</v>
      </c>
      <c r="S152" s="513">
        <f t="shared" si="10"/>
        <v>0</v>
      </c>
    </row>
    <row r="153" spans="2:19" hidden="1">
      <c r="B153" s="468">
        <v>141</v>
      </c>
      <c r="C153" s="497"/>
      <c r="D153" s="498"/>
      <c r="E153" s="499"/>
      <c r="F153" s="500"/>
      <c r="G153" s="35"/>
      <c r="H153" s="511">
        <f>IF(Consolidado_A!$G$133=7.6%,-(0.0165+0.076)*F153,0)</f>
        <v>0</v>
      </c>
      <c r="I153" s="35"/>
      <c r="J153" s="505"/>
      <c r="K153" s="506"/>
      <c r="L153" s="453"/>
      <c r="M153" s="513">
        <f t="shared" si="8"/>
        <v>0</v>
      </c>
      <c r="N153" s="512"/>
      <c r="O153" s="513">
        <f t="shared" si="9"/>
        <v>0</v>
      </c>
      <c r="Q153" s="509">
        <f t="shared" si="11"/>
        <v>2.5000000000000001E-3</v>
      </c>
      <c r="S153" s="513">
        <f t="shared" si="10"/>
        <v>0</v>
      </c>
    </row>
    <row r="154" spans="2:19" hidden="1">
      <c r="B154" s="468">
        <v>142</v>
      </c>
      <c r="C154" s="497"/>
      <c r="D154" s="498"/>
      <c r="E154" s="499"/>
      <c r="F154" s="500"/>
      <c r="G154" s="35"/>
      <c r="H154" s="511">
        <f>IF(Consolidado_A!$G$133=7.6%,-(0.0165+0.076)*F154,0)</f>
        <v>0</v>
      </c>
      <c r="I154" s="35"/>
      <c r="J154" s="505"/>
      <c r="K154" s="506"/>
      <c r="L154" s="453"/>
      <c r="M154" s="513">
        <f t="shared" si="8"/>
        <v>0</v>
      </c>
      <c r="N154" s="512"/>
      <c r="O154" s="513">
        <f t="shared" si="9"/>
        <v>0</v>
      </c>
      <c r="Q154" s="509">
        <f t="shared" si="11"/>
        <v>2.5000000000000001E-3</v>
      </c>
      <c r="S154" s="513">
        <f t="shared" si="10"/>
        <v>0</v>
      </c>
    </row>
    <row r="155" spans="2:19" hidden="1">
      <c r="B155" s="468">
        <v>143</v>
      </c>
      <c r="C155" s="497"/>
      <c r="D155" s="498"/>
      <c r="E155" s="499"/>
      <c r="F155" s="500"/>
      <c r="G155" s="35"/>
      <c r="H155" s="511">
        <f>IF(Consolidado_A!$G$133=7.6%,-(0.0165+0.076)*F155,0)</f>
        <v>0</v>
      </c>
      <c r="I155" s="35"/>
      <c r="J155" s="505"/>
      <c r="K155" s="506"/>
      <c r="L155" s="453"/>
      <c r="M155" s="513">
        <f t="shared" si="8"/>
        <v>0</v>
      </c>
      <c r="N155" s="512"/>
      <c r="O155" s="513">
        <f t="shared" si="9"/>
        <v>0</v>
      </c>
      <c r="Q155" s="509">
        <f t="shared" si="11"/>
        <v>2.5000000000000001E-3</v>
      </c>
      <c r="S155" s="513">
        <f t="shared" si="10"/>
        <v>0</v>
      </c>
    </row>
    <row r="156" spans="2:19" hidden="1">
      <c r="B156" s="468">
        <v>144</v>
      </c>
      <c r="C156" s="497"/>
      <c r="D156" s="498"/>
      <c r="E156" s="499"/>
      <c r="F156" s="500"/>
      <c r="G156" s="35"/>
      <c r="H156" s="511">
        <f>IF(Consolidado_A!$G$133=7.6%,-(0.0165+0.076)*F156,0)</f>
        <v>0</v>
      </c>
      <c r="I156" s="35"/>
      <c r="J156" s="505"/>
      <c r="K156" s="506"/>
      <c r="L156" s="453"/>
      <c r="M156" s="513">
        <f t="shared" si="8"/>
        <v>0</v>
      </c>
      <c r="N156" s="512"/>
      <c r="O156" s="513">
        <f t="shared" si="9"/>
        <v>0</v>
      </c>
      <c r="Q156" s="509">
        <f t="shared" si="11"/>
        <v>2.5000000000000001E-3</v>
      </c>
      <c r="S156" s="513">
        <f t="shared" si="10"/>
        <v>0</v>
      </c>
    </row>
    <row r="157" spans="2:19" hidden="1">
      <c r="B157" s="468">
        <v>145</v>
      </c>
      <c r="C157" s="497"/>
      <c r="D157" s="498"/>
      <c r="E157" s="499"/>
      <c r="F157" s="500"/>
      <c r="G157" s="35"/>
      <c r="H157" s="511">
        <f>IF(Consolidado_A!$G$133=7.6%,-(0.0165+0.076)*F157,0)</f>
        <v>0</v>
      </c>
      <c r="I157" s="35"/>
      <c r="J157" s="505"/>
      <c r="K157" s="506"/>
      <c r="L157" s="453"/>
      <c r="M157" s="513">
        <f t="shared" si="8"/>
        <v>0</v>
      </c>
      <c r="N157" s="512"/>
      <c r="O157" s="513">
        <f t="shared" si="9"/>
        <v>0</v>
      </c>
      <c r="Q157" s="509">
        <f t="shared" si="11"/>
        <v>2.5000000000000001E-3</v>
      </c>
      <c r="S157" s="513">
        <f t="shared" si="10"/>
        <v>0</v>
      </c>
    </row>
    <row r="158" spans="2:19" hidden="1">
      <c r="B158" s="468">
        <v>146</v>
      </c>
      <c r="C158" s="497"/>
      <c r="D158" s="498"/>
      <c r="E158" s="499"/>
      <c r="F158" s="500"/>
      <c r="G158" s="35"/>
      <c r="H158" s="511">
        <f>IF(Consolidado_A!$G$133=7.6%,-(0.0165+0.076)*F158,0)</f>
        <v>0</v>
      </c>
      <c r="I158" s="35"/>
      <c r="J158" s="505"/>
      <c r="K158" s="506"/>
      <c r="L158" s="453"/>
      <c r="M158" s="513">
        <f t="shared" si="8"/>
        <v>0</v>
      </c>
      <c r="N158" s="512"/>
      <c r="O158" s="513">
        <f t="shared" si="9"/>
        <v>0</v>
      </c>
      <c r="Q158" s="509">
        <f t="shared" si="11"/>
        <v>2.5000000000000001E-3</v>
      </c>
      <c r="S158" s="513">
        <f t="shared" si="10"/>
        <v>0</v>
      </c>
    </row>
    <row r="159" spans="2:19" hidden="1">
      <c r="B159" s="468">
        <v>147</v>
      </c>
      <c r="C159" s="497"/>
      <c r="D159" s="498"/>
      <c r="E159" s="499"/>
      <c r="F159" s="500"/>
      <c r="G159" s="35"/>
      <c r="H159" s="511">
        <f>IF(Consolidado_A!$G$133=7.6%,-(0.0165+0.076)*F159,0)</f>
        <v>0</v>
      </c>
      <c r="I159" s="35"/>
      <c r="J159" s="505"/>
      <c r="K159" s="506"/>
      <c r="L159" s="453"/>
      <c r="M159" s="513">
        <f t="shared" si="8"/>
        <v>0</v>
      </c>
      <c r="N159" s="512"/>
      <c r="O159" s="513">
        <f t="shared" si="9"/>
        <v>0</v>
      </c>
      <c r="Q159" s="509">
        <f t="shared" si="11"/>
        <v>2.5000000000000001E-3</v>
      </c>
      <c r="S159" s="513">
        <f t="shared" si="10"/>
        <v>0</v>
      </c>
    </row>
    <row r="160" spans="2:19" hidden="1">
      <c r="B160" s="468">
        <v>148</v>
      </c>
      <c r="C160" s="497"/>
      <c r="D160" s="498"/>
      <c r="E160" s="499"/>
      <c r="F160" s="500"/>
      <c r="G160" s="35"/>
      <c r="H160" s="511">
        <f>IF(Consolidado_A!$G$133=7.6%,-(0.0165+0.076)*F160,0)</f>
        <v>0</v>
      </c>
      <c r="I160" s="35"/>
      <c r="J160" s="505"/>
      <c r="K160" s="506"/>
      <c r="L160" s="453"/>
      <c r="M160" s="513">
        <f t="shared" si="8"/>
        <v>0</v>
      </c>
      <c r="N160" s="512"/>
      <c r="O160" s="513">
        <f t="shared" si="9"/>
        <v>0</v>
      </c>
      <c r="Q160" s="509">
        <f t="shared" si="11"/>
        <v>2.5000000000000001E-3</v>
      </c>
      <c r="S160" s="513">
        <f t="shared" si="10"/>
        <v>0</v>
      </c>
    </row>
    <row r="161" spans="2:19" hidden="1">
      <c r="B161" s="468">
        <v>149</v>
      </c>
      <c r="C161" s="497"/>
      <c r="D161" s="498"/>
      <c r="E161" s="499"/>
      <c r="F161" s="500"/>
      <c r="G161" s="35"/>
      <c r="H161" s="511">
        <f>IF(Consolidado_A!$G$133=7.6%,-(0.0165+0.076)*F161,0)</f>
        <v>0</v>
      </c>
      <c r="I161" s="35"/>
      <c r="J161" s="505"/>
      <c r="K161" s="506"/>
      <c r="L161" s="453"/>
      <c r="M161" s="513">
        <f t="shared" si="8"/>
        <v>0</v>
      </c>
      <c r="N161" s="512"/>
      <c r="O161" s="513">
        <f t="shared" si="9"/>
        <v>0</v>
      </c>
      <c r="Q161" s="509">
        <f t="shared" si="11"/>
        <v>2.5000000000000001E-3</v>
      </c>
      <c r="S161" s="513">
        <f t="shared" si="10"/>
        <v>0</v>
      </c>
    </row>
    <row r="162" spans="2:19" hidden="1">
      <c r="B162" s="468">
        <v>150</v>
      </c>
      <c r="C162" s="497"/>
      <c r="D162" s="498"/>
      <c r="E162" s="499"/>
      <c r="F162" s="500"/>
      <c r="G162" s="35"/>
      <c r="H162" s="511">
        <f>IF(Consolidado_A!$G$133=7.6%,-(0.0165+0.076)*F162,0)</f>
        <v>0</v>
      </c>
      <c r="I162" s="35"/>
      <c r="J162" s="505"/>
      <c r="K162" s="506"/>
      <c r="L162" s="453"/>
      <c r="M162" s="513">
        <f t="shared" si="8"/>
        <v>0</v>
      </c>
      <c r="N162" s="512"/>
      <c r="O162" s="513">
        <f t="shared" si="9"/>
        <v>0</v>
      </c>
      <c r="P162" s="453"/>
      <c r="Q162" s="509">
        <f t="shared" si="11"/>
        <v>2.5000000000000001E-3</v>
      </c>
      <c r="R162" s="453"/>
      <c r="S162" s="513">
        <f t="shared" si="10"/>
        <v>0</v>
      </c>
    </row>
    <row r="163" spans="2:19" hidden="1">
      <c r="B163" s="468">
        <v>151</v>
      </c>
      <c r="C163" s="497"/>
      <c r="D163" s="498"/>
      <c r="E163" s="499"/>
      <c r="F163" s="500"/>
      <c r="G163" s="35"/>
      <c r="H163" s="511">
        <f>IF(Consolidado_A!$G$133=7.6%,-(0.0165+0.076)*F163,0)</f>
        <v>0</v>
      </c>
      <c r="I163" s="35"/>
      <c r="J163" s="505"/>
      <c r="K163" s="506"/>
      <c r="L163" s="453"/>
      <c r="M163" s="513">
        <f t="shared" si="8"/>
        <v>0</v>
      </c>
      <c r="N163" s="512"/>
      <c r="O163" s="513">
        <f t="shared" si="9"/>
        <v>0</v>
      </c>
      <c r="P163" s="453"/>
      <c r="Q163" s="509">
        <f t="shared" si="11"/>
        <v>2.5000000000000001E-3</v>
      </c>
      <c r="R163" s="453"/>
      <c r="S163" s="513">
        <f t="shared" si="10"/>
        <v>0</v>
      </c>
    </row>
    <row r="164" spans="2:19" hidden="1">
      <c r="B164" s="468">
        <v>152</v>
      </c>
      <c r="C164" s="497"/>
      <c r="D164" s="498"/>
      <c r="E164" s="499"/>
      <c r="F164" s="500"/>
      <c r="G164" s="35"/>
      <c r="H164" s="511">
        <f>IF(Consolidado_A!$G$133=7.6%,-(0.0165+0.076)*F164,0)</f>
        <v>0</v>
      </c>
      <c r="I164" s="35"/>
      <c r="J164" s="505"/>
      <c r="K164" s="506"/>
      <c r="L164" s="453"/>
      <c r="M164" s="513">
        <f t="shared" si="8"/>
        <v>0</v>
      </c>
      <c r="N164" s="512"/>
      <c r="O164" s="513">
        <f t="shared" si="9"/>
        <v>0</v>
      </c>
      <c r="P164" s="453"/>
      <c r="Q164" s="509">
        <f t="shared" si="11"/>
        <v>2.5000000000000001E-3</v>
      </c>
      <c r="R164" s="453"/>
      <c r="S164" s="513">
        <f t="shared" si="10"/>
        <v>0</v>
      </c>
    </row>
    <row r="165" spans="2:19" hidden="1">
      <c r="B165" s="468">
        <v>153</v>
      </c>
      <c r="C165" s="497"/>
      <c r="D165" s="498"/>
      <c r="E165" s="499"/>
      <c r="F165" s="500"/>
      <c r="G165" s="35"/>
      <c r="H165" s="511">
        <f>IF(Consolidado_A!$G$133=7.6%,-(0.0165+0.076)*F165,0)</f>
        <v>0</v>
      </c>
      <c r="I165" s="35"/>
      <c r="J165" s="505"/>
      <c r="K165" s="506"/>
      <c r="L165" s="453"/>
      <c r="M165" s="513">
        <f t="shared" si="8"/>
        <v>0</v>
      </c>
      <c r="N165" s="512"/>
      <c r="O165" s="513">
        <f t="shared" si="9"/>
        <v>0</v>
      </c>
      <c r="P165" s="453"/>
      <c r="Q165" s="509">
        <f t="shared" si="11"/>
        <v>2.5000000000000001E-3</v>
      </c>
      <c r="R165" s="453"/>
      <c r="S165" s="513">
        <f t="shared" si="10"/>
        <v>0</v>
      </c>
    </row>
    <row r="166" spans="2:19" hidden="1">
      <c r="B166" s="468">
        <v>154</v>
      </c>
      <c r="C166" s="497"/>
      <c r="D166" s="498"/>
      <c r="E166" s="499"/>
      <c r="F166" s="500"/>
      <c r="G166" s="35"/>
      <c r="H166" s="511">
        <f>IF(Consolidado_A!$G$133=7.6%,-(0.0165+0.076)*F166,0)</f>
        <v>0</v>
      </c>
      <c r="I166" s="35"/>
      <c r="J166" s="505"/>
      <c r="K166" s="506"/>
      <c r="L166" s="453"/>
      <c r="M166" s="513">
        <f t="shared" si="8"/>
        <v>0</v>
      </c>
      <c r="N166" s="512"/>
      <c r="O166" s="513">
        <f t="shared" si="9"/>
        <v>0</v>
      </c>
      <c r="P166" s="453"/>
      <c r="Q166" s="509">
        <f t="shared" si="11"/>
        <v>2.5000000000000001E-3</v>
      </c>
      <c r="R166" s="453"/>
      <c r="S166" s="513">
        <f t="shared" si="10"/>
        <v>0</v>
      </c>
    </row>
    <row r="167" spans="2:19" hidden="1">
      <c r="B167" s="468">
        <v>155</v>
      </c>
      <c r="C167" s="497"/>
      <c r="D167" s="498"/>
      <c r="E167" s="499"/>
      <c r="F167" s="500"/>
      <c r="G167" s="35"/>
      <c r="H167" s="511">
        <f>IF(Consolidado_A!$G$133=7.6%,-(0.0165+0.076)*F167,0)</f>
        <v>0</v>
      </c>
      <c r="I167" s="35"/>
      <c r="J167" s="505"/>
      <c r="K167" s="506"/>
      <c r="L167" s="453"/>
      <c r="M167" s="513">
        <f t="shared" si="8"/>
        <v>0</v>
      </c>
      <c r="N167" s="512"/>
      <c r="O167" s="513">
        <f t="shared" si="9"/>
        <v>0</v>
      </c>
      <c r="P167" s="453"/>
      <c r="Q167" s="509">
        <f t="shared" si="11"/>
        <v>2.5000000000000001E-3</v>
      </c>
      <c r="R167" s="453"/>
      <c r="S167" s="513">
        <f t="shared" si="10"/>
        <v>0</v>
      </c>
    </row>
    <row r="168" spans="2:19" hidden="1">
      <c r="B168" s="468">
        <v>156</v>
      </c>
      <c r="C168" s="497"/>
      <c r="D168" s="498"/>
      <c r="E168" s="499"/>
      <c r="F168" s="500"/>
      <c r="G168" s="35"/>
      <c r="H168" s="511">
        <f>IF(Consolidado_A!$G$133=7.6%,-(0.0165+0.076)*F168,0)</f>
        <v>0</v>
      </c>
      <c r="I168" s="35"/>
      <c r="J168" s="505"/>
      <c r="K168" s="506"/>
      <c r="L168" s="453"/>
      <c r="M168" s="513">
        <f t="shared" si="8"/>
        <v>0</v>
      </c>
      <c r="N168" s="512"/>
      <c r="O168" s="513">
        <f t="shared" si="9"/>
        <v>0</v>
      </c>
      <c r="P168" s="453"/>
      <c r="Q168" s="509">
        <f t="shared" si="11"/>
        <v>2.5000000000000001E-3</v>
      </c>
      <c r="R168" s="453"/>
      <c r="S168" s="513">
        <f t="shared" si="10"/>
        <v>0</v>
      </c>
    </row>
    <row r="169" spans="2:19" hidden="1">
      <c r="B169" s="468">
        <v>157</v>
      </c>
      <c r="C169" s="497"/>
      <c r="D169" s="498"/>
      <c r="E169" s="499"/>
      <c r="F169" s="500"/>
      <c r="G169" s="35"/>
      <c r="H169" s="511">
        <f>IF(Consolidado_A!$G$133=7.6%,-(0.0165+0.076)*F169,0)</f>
        <v>0</v>
      </c>
      <c r="I169" s="35"/>
      <c r="J169" s="505"/>
      <c r="K169" s="506"/>
      <c r="L169" s="453"/>
      <c r="M169" s="513">
        <f t="shared" si="8"/>
        <v>0</v>
      </c>
      <c r="N169" s="512"/>
      <c r="O169" s="513">
        <f t="shared" si="9"/>
        <v>0</v>
      </c>
      <c r="P169" s="453"/>
      <c r="Q169" s="509">
        <f t="shared" si="11"/>
        <v>2.5000000000000001E-3</v>
      </c>
      <c r="R169" s="453"/>
      <c r="S169" s="513">
        <f t="shared" si="10"/>
        <v>0</v>
      </c>
    </row>
    <row r="170" spans="2:19" hidden="1">
      <c r="B170" s="468">
        <v>158</v>
      </c>
      <c r="C170" s="497"/>
      <c r="D170" s="498"/>
      <c r="E170" s="499"/>
      <c r="F170" s="500"/>
      <c r="G170" s="35"/>
      <c r="H170" s="511">
        <f>IF(Consolidado_A!$G$133=7.6%,-(0.0165+0.076)*F170,0)</f>
        <v>0</v>
      </c>
      <c r="I170" s="35"/>
      <c r="J170" s="505"/>
      <c r="K170" s="506"/>
      <c r="L170" s="453"/>
      <c r="M170" s="513">
        <f t="shared" si="8"/>
        <v>0</v>
      </c>
      <c r="N170" s="512"/>
      <c r="O170" s="513">
        <f t="shared" si="9"/>
        <v>0</v>
      </c>
      <c r="P170" s="453"/>
      <c r="Q170" s="509">
        <f t="shared" si="11"/>
        <v>2.5000000000000001E-3</v>
      </c>
      <c r="R170" s="453"/>
      <c r="S170" s="513">
        <f t="shared" si="10"/>
        <v>0</v>
      </c>
    </row>
    <row r="171" spans="2:19" hidden="1">
      <c r="B171" s="468">
        <v>159</v>
      </c>
      <c r="C171" s="497"/>
      <c r="D171" s="498"/>
      <c r="E171" s="499"/>
      <c r="F171" s="500"/>
      <c r="G171" s="35"/>
      <c r="H171" s="511">
        <f>IF(Consolidado_A!$G$133=7.6%,-(0.0165+0.076)*F171,0)</f>
        <v>0</v>
      </c>
      <c r="I171" s="35"/>
      <c r="J171" s="505"/>
      <c r="K171" s="506"/>
      <c r="L171" s="453"/>
      <c r="M171" s="513">
        <f t="shared" si="8"/>
        <v>0</v>
      </c>
      <c r="N171" s="512"/>
      <c r="O171" s="513">
        <f t="shared" si="9"/>
        <v>0</v>
      </c>
      <c r="P171" s="453"/>
      <c r="Q171" s="509">
        <f t="shared" si="11"/>
        <v>2.5000000000000001E-3</v>
      </c>
      <c r="R171" s="453"/>
      <c r="S171" s="513">
        <f t="shared" si="10"/>
        <v>0</v>
      </c>
    </row>
    <row r="172" spans="2:19" hidden="1">
      <c r="B172" s="468">
        <v>160</v>
      </c>
      <c r="C172" s="497"/>
      <c r="D172" s="498"/>
      <c r="E172" s="499"/>
      <c r="F172" s="500"/>
      <c r="G172" s="35"/>
      <c r="H172" s="511">
        <f>IF(Consolidado_A!$G$133=7.6%,-(0.0165+0.076)*F172,0)</f>
        <v>0</v>
      </c>
      <c r="I172" s="35"/>
      <c r="J172" s="505"/>
      <c r="K172" s="506"/>
      <c r="L172" s="453"/>
      <c r="M172" s="513">
        <f t="shared" si="8"/>
        <v>0</v>
      </c>
      <c r="N172" s="512"/>
      <c r="O172" s="513">
        <f t="shared" si="9"/>
        <v>0</v>
      </c>
      <c r="P172" s="453"/>
      <c r="Q172" s="509">
        <f t="shared" si="11"/>
        <v>2.5000000000000001E-3</v>
      </c>
      <c r="R172" s="453"/>
      <c r="S172" s="513">
        <f t="shared" si="10"/>
        <v>0</v>
      </c>
    </row>
    <row r="173" spans="2:19" hidden="1">
      <c r="B173" s="468">
        <v>161</v>
      </c>
      <c r="C173" s="497"/>
      <c r="D173" s="498"/>
      <c r="E173" s="499"/>
      <c r="F173" s="500"/>
      <c r="G173" s="35"/>
      <c r="H173" s="511">
        <f>IF(Consolidado_A!$G$133=7.6%,-(0.0165+0.076)*F173,0)</f>
        <v>0</v>
      </c>
      <c r="I173" s="35"/>
      <c r="J173" s="505"/>
      <c r="K173" s="506"/>
      <c r="L173" s="453"/>
      <c r="M173" s="513">
        <f t="shared" si="8"/>
        <v>0</v>
      </c>
      <c r="N173" s="512"/>
      <c r="O173" s="513">
        <f t="shared" si="9"/>
        <v>0</v>
      </c>
      <c r="Q173" s="509">
        <f t="shared" si="11"/>
        <v>2.5000000000000001E-3</v>
      </c>
      <c r="S173" s="513">
        <f t="shared" si="10"/>
        <v>0</v>
      </c>
    </row>
    <row r="174" spans="2:19" hidden="1">
      <c r="B174" s="468">
        <v>162</v>
      </c>
      <c r="C174" s="497"/>
      <c r="D174" s="498"/>
      <c r="E174" s="499"/>
      <c r="F174" s="500"/>
      <c r="G174" s="35"/>
      <c r="H174" s="511">
        <f>IF(Consolidado_A!$G$133=7.6%,-(0.0165+0.076)*F174,0)</f>
        <v>0</v>
      </c>
      <c r="I174" s="35"/>
      <c r="J174" s="505"/>
      <c r="K174" s="506"/>
      <c r="L174" s="453"/>
      <c r="M174" s="513">
        <f t="shared" si="8"/>
        <v>0</v>
      </c>
      <c r="N174" s="512"/>
      <c r="O174" s="513">
        <f t="shared" si="9"/>
        <v>0</v>
      </c>
      <c r="Q174" s="509">
        <f t="shared" si="11"/>
        <v>2.5000000000000001E-3</v>
      </c>
      <c r="S174" s="513">
        <f t="shared" si="10"/>
        <v>0</v>
      </c>
    </row>
    <row r="175" spans="2:19" hidden="1">
      <c r="B175" s="468">
        <v>163</v>
      </c>
      <c r="C175" s="497"/>
      <c r="D175" s="498"/>
      <c r="E175" s="499"/>
      <c r="F175" s="500"/>
      <c r="G175" s="35"/>
      <c r="H175" s="511">
        <f>IF(Consolidado_A!$G$133=7.6%,-(0.0165+0.076)*F175,0)</f>
        <v>0</v>
      </c>
      <c r="I175" s="35"/>
      <c r="J175" s="505"/>
      <c r="K175" s="506"/>
      <c r="L175" s="453"/>
      <c r="M175" s="513">
        <f t="shared" si="8"/>
        <v>0</v>
      </c>
      <c r="N175" s="512"/>
      <c r="O175" s="513">
        <f t="shared" si="9"/>
        <v>0</v>
      </c>
      <c r="Q175" s="509">
        <f t="shared" si="11"/>
        <v>2.5000000000000001E-3</v>
      </c>
      <c r="S175" s="513">
        <f t="shared" si="10"/>
        <v>0</v>
      </c>
    </row>
    <row r="176" spans="2:19" hidden="1">
      <c r="B176" s="468">
        <v>164</v>
      </c>
      <c r="C176" s="497"/>
      <c r="D176" s="498"/>
      <c r="E176" s="499"/>
      <c r="F176" s="500"/>
      <c r="G176" s="35"/>
      <c r="H176" s="511">
        <f>IF(Consolidado_A!$G$133=7.6%,-(0.0165+0.076)*F176,0)</f>
        <v>0</v>
      </c>
      <c r="I176" s="35"/>
      <c r="J176" s="505"/>
      <c r="K176" s="506"/>
      <c r="L176" s="453"/>
      <c r="M176" s="513">
        <f t="shared" si="8"/>
        <v>0</v>
      </c>
      <c r="N176" s="512"/>
      <c r="O176" s="513">
        <f t="shared" si="9"/>
        <v>0</v>
      </c>
      <c r="Q176" s="509">
        <f t="shared" si="11"/>
        <v>2.5000000000000001E-3</v>
      </c>
      <c r="S176" s="513">
        <f t="shared" si="10"/>
        <v>0</v>
      </c>
    </row>
    <row r="177" spans="2:19" hidden="1">
      <c r="B177" s="468">
        <v>165</v>
      </c>
      <c r="C177" s="497"/>
      <c r="D177" s="498"/>
      <c r="E177" s="499"/>
      <c r="F177" s="500"/>
      <c r="G177" s="35"/>
      <c r="H177" s="511">
        <f>IF(Consolidado_A!$G$133=7.6%,-(0.0165+0.076)*F177,0)</f>
        <v>0</v>
      </c>
      <c r="I177" s="35"/>
      <c r="J177" s="505"/>
      <c r="K177" s="506"/>
      <c r="L177" s="453"/>
      <c r="M177" s="513">
        <f t="shared" si="8"/>
        <v>0</v>
      </c>
      <c r="N177" s="512"/>
      <c r="O177" s="513">
        <f t="shared" si="9"/>
        <v>0</v>
      </c>
      <c r="Q177" s="509">
        <f t="shared" si="11"/>
        <v>2.5000000000000001E-3</v>
      </c>
      <c r="S177" s="513">
        <f t="shared" si="10"/>
        <v>0</v>
      </c>
    </row>
    <row r="178" spans="2:19" hidden="1">
      <c r="B178" s="468">
        <v>166</v>
      </c>
      <c r="C178" s="497"/>
      <c r="D178" s="498"/>
      <c r="E178" s="499"/>
      <c r="F178" s="500"/>
      <c r="G178" s="35"/>
      <c r="H178" s="511">
        <f>IF(Consolidado_A!$G$133=7.6%,-(0.0165+0.076)*F178,0)</f>
        <v>0</v>
      </c>
      <c r="I178" s="35"/>
      <c r="J178" s="505"/>
      <c r="K178" s="506"/>
      <c r="L178" s="453"/>
      <c r="M178" s="513">
        <f t="shared" si="8"/>
        <v>0</v>
      </c>
      <c r="N178" s="512"/>
      <c r="O178" s="513">
        <f t="shared" si="9"/>
        <v>0</v>
      </c>
      <c r="Q178" s="509">
        <f t="shared" si="11"/>
        <v>2.5000000000000001E-3</v>
      </c>
      <c r="S178" s="513">
        <f t="shared" si="10"/>
        <v>0</v>
      </c>
    </row>
    <row r="179" spans="2:19" hidden="1">
      <c r="B179" s="468">
        <v>167</v>
      </c>
      <c r="C179" s="497"/>
      <c r="D179" s="498"/>
      <c r="E179" s="499"/>
      <c r="F179" s="500"/>
      <c r="G179" s="35"/>
      <c r="H179" s="511">
        <f>IF(Consolidado_A!$G$133=7.6%,-(0.0165+0.076)*F179,0)</f>
        <v>0</v>
      </c>
      <c r="I179" s="35"/>
      <c r="J179" s="505"/>
      <c r="K179" s="506"/>
      <c r="L179" s="453"/>
      <c r="M179" s="513">
        <f t="shared" si="8"/>
        <v>0</v>
      </c>
      <c r="N179" s="512"/>
      <c r="O179" s="513">
        <f t="shared" si="9"/>
        <v>0</v>
      </c>
      <c r="Q179" s="509">
        <f t="shared" si="11"/>
        <v>2.5000000000000001E-3</v>
      </c>
      <c r="S179" s="513">
        <f t="shared" si="10"/>
        <v>0</v>
      </c>
    </row>
    <row r="180" spans="2:19" hidden="1">
      <c r="B180" s="468">
        <v>168</v>
      </c>
      <c r="C180" s="497"/>
      <c r="D180" s="498"/>
      <c r="E180" s="499"/>
      <c r="F180" s="500"/>
      <c r="G180" s="35"/>
      <c r="H180" s="511">
        <f>IF(Consolidado_A!$G$133=7.6%,-(0.0165+0.076)*F180,0)</f>
        <v>0</v>
      </c>
      <c r="I180" s="35"/>
      <c r="J180" s="505"/>
      <c r="K180" s="506"/>
      <c r="L180" s="453"/>
      <c r="M180" s="513">
        <f t="shared" si="8"/>
        <v>0</v>
      </c>
      <c r="N180" s="512"/>
      <c r="O180" s="513">
        <f t="shared" si="9"/>
        <v>0</v>
      </c>
      <c r="Q180" s="509">
        <f t="shared" si="11"/>
        <v>2.5000000000000001E-3</v>
      </c>
      <c r="S180" s="513">
        <f t="shared" si="10"/>
        <v>0</v>
      </c>
    </row>
    <row r="181" spans="2:19" hidden="1">
      <c r="B181" s="468">
        <v>169</v>
      </c>
      <c r="C181" s="497"/>
      <c r="D181" s="498"/>
      <c r="E181" s="499"/>
      <c r="F181" s="500"/>
      <c r="G181" s="35"/>
      <c r="H181" s="511">
        <f>IF(Consolidado_A!$G$133=7.6%,-(0.0165+0.076)*F181,0)</f>
        <v>0</v>
      </c>
      <c r="I181" s="35"/>
      <c r="J181" s="505"/>
      <c r="K181" s="506"/>
      <c r="L181" s="453"/>
      <c r="M181" s="513">
        <f t="shared" si="8"/>
        <v>0</v>
      </c>
      <c r="N181" s="512"/>
      <c r="O181" s="513">
        <f t="shared" si="9"/>
        <v>0</v>
      </c>
      <c r="Q181" s="509">
        <f t="shared" si="11"/>
        <v>2.5000000000000001E-3</v>
      </c>
      <c r="S181" s="513">
        <f t="shared" si="10"/>
        <v>0</v>
      </c>
    </row>
    <row r="182" spans="2:19" hidden="1">
      <c r="B182" s="468">
        <v>170</v>
      </c>
      <c r="C182" s="497"/>
      <c r="D182" s="498"/>
      <c r="E182" s="499"/>
      <c r="F182" s="500"/>
      <c r="G182" s="35"/>
      <c r="H182" s="511">
        <f>IF(Consolidado_A!$G$133=7.6%,-(0.0165+0.076)*F182,0)</f>
        <v>0</v>
      </c>
      <c r="I182" s="35"/>
      <c r="J182" s="505"/>
      <c r="K182" s="506"/>
      <c r="L182" s="453"/>
      <c r="M182" s="513">
        <f t="shared" si="8"/>
        <v>0</v>
      </c>
      <c r="N182" s="512"/>
      <c r="O182" s="513">
        <f t="shared" si="9"/>
        <v>0</v>
      </c>
      <c r="Q182" s="509">
        <f t="shared" si="11"/>
        <v>2.5000000000000001E-3</v>
      </c>
      <c r="S182" s="513">
        <f t="shared" si="10"/>
        <v>0</v>
      </c>
    </row>
    <row r="183" spans="2:19" hidden="1">
      <c r="B183" s="468">
        <v>171</v>
      </c>
      <c r="C183" s="497"/>
      <c r="D183" s="498"/>
      <c r="E183" s="499"/>
      <c r="F183" s="500"/>
      <c r="G183" s="35"/>
      <c r="H183" s="511">
        <f>IF(Consolidado_A!$G$133=7.6%,-(0.0165+0.076)*F183,0)</f>
        <v>0</v>
      </c>
      <c r="I183" s="35"/>
      <c r="J183" s="505"/>
      <c r="K183" s="506"/>
      <c r="L183" s="453"/>
      <c r="M183" s="513">
        <f t="shared" si="8"/>
        <v>0</v>
      </c>
      <c r="N183" s="512"/>
      <c r="O183" s="513">
        <f t="shared" si="9"/>
        <v>0</v>
      </c>
      <c r="Q183" s="509">
        <f t="shared" si="11"/>
        <v>2.5000000000000001E-3</v>
      </c>
      <c r="S183" s="513">
        <f t="shared" si="10"/>
        <v>0</v>
      </c>
    </row>
    <row r="184" spans="2:19" hidden="1">
      <c r="B184" s="468">
        <v>172</v>
      </c>
      <c r="C184" s="497"/>
      <c r="D184" s="498"/>
      <c r="E184" s="499"/>
      <c r="F184" s="500"/>
      <c r="G184" s="35"/>
      <c r="H184" s="511">
        <f>IF(Consolidado_A!$G$133=7.6%,-(0.0165+0.076)*F184,0)</f>
        <v>0</v>
      </c>
      <c r="I184" s="35"/>
      <c r="J184" s="505"/>
      <c r="K184" s="506"/>
      <c r="L184" s="453"/>
      <c r="M184" s="513">
        <f t="shared" si="8"/>
        <v>0</v>
      </c>
      <c r="N184" s="512"/>
      <c r="O184" s="513">
        <f t="shared" si="9"/>
        <v>0</v>
      </c>
      <c r="Q184" s="509">
        <f t="shared" si="11"/>
        <v>2.5000000000000001E-3</v>
      </c>
      <c r="S184" s="513">
        <f t="shared" si="10"/>
        <v>0</v>
      </c>
    </row>
    <row r="185" spans="2:19" hidden="1">
      <c r="B185" s="468">
        <v>173</v>
      </c>
      <c r="C185" s="497"/>
      <c r="D185" s="498"/>
      <c r="E185" s="499"/>
      <c r="F185" s="500"/>
      <c r="G185" s="35"/>
      <c r="H185" s="511">
        <f>IF(Consolidado_A!$G$133=7.6%,-(0.0165+0.076)*F185,0)</f>
        <v>0</v>
      </c>
      <c r="I185" s="35"/>
      <c r="J185" s="505"/>
      <c r="K185" s="506"/>
      <c r="L185" s="453"/>
      <c r="M185" s="513">
        <f t="shared" si="8"/>
        <v>0</v>
      </c>
      <c r="N185" s="512"/>
      <c r="O185" s="513">
        <f t="shared" si="9"/>
        <v>0</v>
      </c>
      <c r="Q185" s="509">
        <f t="shared" si="11"/>
        <v>2.5000000000000001E-3</v>
      </c>
      <c r="S185" s="513">
        <f t="shared" si="10"/>
        <v>0</v>
      </c>
    </row>
    <row r="186" spans="2:19" hidden="1">
      <c r="B186" s="468">
        <v>174</v>
      </c>
      <c r="C186" s="497"/>
      <c r="D186" s="498"/>
      <c r="E186" s="499"/>
      <c r="F186" s="500"/>
      <c r="G186" s="35"/>
      <c r="H186" s="511">
        <f>IF(Consolidado_A!$G$133=7.6%,-(0.0165+0.076)*F186,0)</f>
        <v>0</v>
      </c>
      <c r="I186" s="35"/>
      <c r="J186" s="505"/>
      <c r="K186" s="506"/>
      <c r="L186" s="453"/>
      <c r="M186" s="513">
        <f t="shared" si="8"/>
        <v>0</v>
      </c>
      <c r="N186" s="512"/>
      <c r="O186" s="513">
        <f t="shared" si="9"/>
        <v>0</v>
      </c>
      <c r="P186" s="453"/>
      <c r="Q186" s="509">
        <f t="shared" si="11"/>
        <v>2.5000000000000001E-3</v>
      </c>
      <c r="R186" s="453"/>
      <c r="S186" s="513">
        <f t="shared" si="10"/>
        <v>0</v>
      </c>
    </row>
    <row r="187" spans="2:19" hidden="1">
      <c r="B187" s="468">
        <v>175</v>
      </c>
      <c r="C187" s="497"/>
      <c r="D187" s="498"/>
      <c r="E187" s="499"/>
      <c r="F187" s="500"/>
      <c r="G187" s="35"/>
      <c r="H187" s="511">
        <f>IF(Consolidado_A!$G$133=7.6%,-(0.0165+0.076)*F187,0)</f>
        <v>0</v>
      </c>
      <c r="I187" s="35"/>
      <c r="J187" s="505"/>
      <c r="K187" s="506"/>
      <c r="L187" s="453"/>
      <c r="M187" s="513">
        <f t="shared" si="8"/>
        <v>0</v>
      </c>
      <c r="N187" s="512"/>
      <c r="O187" s="513">
        <f t="shared" si="9"/>
        <v>0</v>
      </c>
      <c r="P187" s="453"/>
      <c r="Q187" s="509">
        <f t="shared" si="11"/>
        <v>2.5000000000000001E-3</v>
      </c>
      <c r="R187" s="453"/>
      <c r="S187" s="513">
        <f t="shared" si="10"/>
        <v>0</v>
      </c>
    </row>
    <row r="188" spans="2:19" hidden="1">
      <c r="B188" s="468">
        <v>176</v>
      </c>
      <c r="C188" s="497"/>
      <c r="D188" s="498"/>
      <c r="E188" s="499"/>
      <c r="F188" s="500"/>
      <c r="G188" s="35"/>
      <c r="H188" s="511">
        <f>IF(Consolidado_A!$G$133=7.6%,-(0.0165+0.076)*F188,0)</f>
        <v>0</v>
      </c>
      <c r="I188" s="35"/>
      <c r="J188" s="505"/>
      <c r="K188" s="506"/>
      <c r="L188" s="453"/>
      <c r="M188" s="513">
        <f t="shared" si="8"/>
        <v>0</v>
      </c>
      <c r="N188" s="512"/>
      <c r="O188" s="513">
        <f t="shared" si="9"/>
        <v>0</v>
      </c>
      <c r="P188" s="453"/>
      <c r="Q188" s="509">
        <f t="shared" si="11"/>
        <v>2.5000000000000001E-3</v>
      </c>
      <c r="R188" s="453"/>
      <c r="S188" s="513">
        <f t="shared" si="10"/>
        <v>0</v>
      </c>
    </row>
    <row r="189" spans="2:19" hidden="1">
      <c r="B189" s="468">
        <v>177</v>
      </c>
      <c r="C189" s="497"/>
      <c r="D189" s="498"/>
      <c r="E189" s="499"/>
      <c r="F189" s="500"/>
      <c r="G189" s="35"/>
      <c r="H189" s="511">
        <f>IF(Consolidado_A!$G$133=7.6%,-(0.0165+0.076)*F189,0)</f>
        <v>0</v>
      </c>
      <c r="I189" s="35"/>
      <c r="J189" s="505"/>
      <c r="K189" s="506"/>
      <c r="L189" s="453"/>
      <c r="M189" s="513">
        <f t="shared" si="8"/>
        <v>0</v>
      </c>
      <c r="N189" s="512"/>
      <c r="O189" s="513">
        <f t="shared" si="9"/>
        <v>0</v>
      </c>
      <c r="P189" s="453"/>
      <c r="Q189" s="509">
        <f t="shared" si="11"/>
        <v>2.5000000000000001E-3</v>
      </c>
      <c r="R189" s="453"/>
      <c r="S189" s="513">
        <f t="shared" si="10"/>
        <v>0</v>
      </c>
    </row>
    <row r="190" spans="2:19" hidden="1">
      <c r="B190" s="468">
        <v>178</v>
      </c>
      <c r="C190" s="497"/>
      <c r="D190" s="498"/>
      <c r="E190" s="499"/>
      <c r="F190" s="500"/>
      <c r="G190" s="35"/>
      <c r="H190" s="511">
        <f>IF(Consolidado_A!$G$133=7.6%,-(0.0165+0.076)*F190,0)</f>
        <v>0</v>
      </c>
      <c r="I190" s="35"/>
      <c r="J190" s="505"/>
      <c r="K190" s="506"/>
      <c r="L190" s="453"/>
      <c r="M190" s="513">
        <f t="shared" si="8"/>
        <v>0</v>
      </c>
      <c r="N190" s="512"/>
      <c r="O190" s="513">
        <f t="shared" si="9"/>
        <v>0</v>
      </c>
      <c r="P190" s="453"/>
      <c r="Q190" s="509">
        <f t="shared" si="11"/>
        <v>2.5000000000000001E-3</v>
      </c>
      <c r="R190" s="453"/>
      <c r="S190" s="513">
        <f t="shared" si="10"/>
        <v>0</v>
      </c>
    </row>
    <row r="191" spans="2:19" hidden="1">
      <c r="B191" s="468">
        <v>179</v>
      </c>
      <c r="C191" s="497"/>
      <c r="D191" s="498"/>
      <c r="E191" s="499"/>
      <c r="F191" s="500"/>
      <c r="G191" s="35"/>
      <c r="H191" s="511">
        <f>IF(Consolidado_A!$G$133=7.6%,-(0.0165+0.076)*F191,0)</f>
        <v>0</v>
      </c>
      <c r="I191" s="35"/>
      <c r="J191" s="505"/>
      <c r="K191" s="506"/>
      <c r="L191" s="453"/>
      <c r="M191" s="513">
        <f t="shared" si="8"/>
        <v>0</v>
      </c>
      <c r="N191" s="512"/>
      <c r="O191" s="513">
        <f t="shared" si="9"/>
        <v>0</v>
      </c>
      <c r="P191" s="453"/>
      <c r="Q191" s="509">
        <f t="shared" si="11"/>
        <v>2.5000000000000001E-3</v>
      </c>
      <c r="R191" s="453"/>
      <c r="S191" s="513">
        <f t="shared" si="10"/>
        <v>0</v>
      </c>
    </row>
    <row r="192" spans="2:19" hidden="1">
      <c r="B192" s="468">
        <v>180</v>
      </c>
      <c r="C192" s="497"/>
      <c r="D192" s="498"/>
      <c r="E192" s="499"/>
      <c r="F192" s="500"/>
      <c r="G192" s="35"/>
      <c r="H192" s="511">
        <f>IF(Consolidado_A!$G$133=7.6%,-(0.0165+0.076)*F192,0)</f>
        <v>0</v>
      </c>
      <c r="I192" s="35"/>
      <c r="J192" s="505"/>
      <c r="K192" s="506"/>
      <c r="L192" s="453"/>
      <c r="M192" s="513">
        <f t="shared" si="8"/>
        <v>0</v>
      </c>
      <c r="N192" s="512"/>
      <c r="O192" s="513">
        <f t="shared" si="9"/>
        <v>0</v>
      </c>
      <c r="P192" s="453"/>
      <c r="Q192" s="509">
        <f t="shared" si="11"/>
        <v>2.5000000000000001E-3</v>
      </c>
      <c r="R192" s="453"/>
      <c r="S192" s="513">
        <f t="shared" si="10"/>
        <v>0</v>
      </c>
    </row>
    <row r="193" spans="2:19" hidden="1">
      <c r="B193" s="468">
        <v>181</v>
      </c>
      <c r="C193" s="497"/>
      <c r="D193" s="498"/>
      <c r="E193" s="499"/>
      <c r="F193" s="500"/>
      <c r="G193" s="35"/>
      <c r="H193" s="511">
        <f>IF(Consolidado_A!$G$133=7.6%,-(0.0165+0.076)*F193,0)</f>
        <v>0</v>
      </c>
      <c r="I193" s="35"/>
      <c r="J193" s="505"/>
      <c r="K193" s="506"/>
      <c r="L193" s="453"/>
      <c r="M193" s="513">
        <f t="shared" si="8"/>
        <v>0</v>
      </c>
      <c r="N193" s="512"/>
      <c r="O193" s="513">
        <f t="shared" si="9"/>
        <v>0</v>
      </c>
      <c r="P193" s="453"/>
      <c r="Q193" s="509">
        <f t="shared" si="11"/>
        <v>2.5000000000000001E-3</v>
      </c>
      <c r="R193" s="453"/>
      <c r="S193" s="513">
        <f t="shared" si="10"/>
        <v>0</v>
      </c>
    </row>
    <row r="194" spans="2:19" hidden="1">
      <c r="B194" s="468">
        <v>182</v>
      </c>
      <c r="C194" s="497"/>
      <c r="D194" s="498"/>
      <c r="E194" s="499"/>
      <c r="F194" s="500"/>
      <c r="G194" s="35"/>
      <c r="H194" s="511">
        <f>IF(Consolidado_A!$G$133=7.6%,-(0.0165+0.076)*F194,0)</f>
        <v>0</v>
      </c>
      <c r="I194" s="35"/>
      <c r="J194" s="505"/>
      <c r="K194" s="506"/>
      <c r="L194" s="453"/>
      <c r="M194" s="513">
        <f t="shared" si="8"/>
        <v>0</v>
      </c>
      <c r="N194" s="512"/>
      <c r="O194" s="513">
        <f t="shared" si="9"/>
        <v>0</v>
      </c>
      <c r="P194" s="453"/>
      <c r="Q194" s="509">
        <f t="shared" si="11"/>
        <v>2.5000000000000001E-3</v>
      </c>
      <c r="R194" s="453"/>
      <c r="S194" s="513">
        <f t="shared" si="10"/>
        <v>0</v>
      </c>
    </row>
    <row r="195" spans="2:19" hidden="1">
      <c r="B195" s="468">
        <v>183</v>
      </c>
      <c r="C195" s="497"/>
      <c r="D195" s="498"/>
      <c r="E195" s="499"/>
      <c r="F195" s="500"/>
      <c r="G195" s="35"/>
      <c r="H195" s="511">
        <f>IF(Consolidado_A!$G$133=7.6%,-(0.0165+0.076)*F195,0)</f>
        <v>0</v>
      </c>
      <c r="I195" s="35"/>
      <c r="J195" s="505"/>
      <c r="K195" s="506"/>
      <c r="L195" s="453"/>
      <c r="M195" s="513">
        <f t="shared" si="8"/>
        <v>0</v>
      </c>
      <c r="N195" s="512"/>
      <c r="O195" s="513">
        <f t="shared" si="9"/>
        <v>0</v>
      </c>
      <c r="P195" s="453"/>
      <c r="Q195" s="509">
        <f t="shared" si="11"/>
        <v>2.5000000000000001E-3</v>
      </c>
      <c r="R195" s="453"/>
      <c r="S195" s="513">
        <f t="shared" si="10"/>
        <v>0</v>
      </c>
    </row>
    <row r="196" spans="2:19" hidden="1">
      <c r="B196" s="468">
        <v>184</v>
      </c>
      <c r="C196" s="497"/>
      <c r="D196" s="498"/>
      <c r="E196" s="499"/>
      <c r="F196" s="500"/>
      <c r="G196" s="35"/>
      <c r="H196" s="511">
        <f>IF(Consolidado_A!$G$133=7.6%,-(0.0165+0.076)*F196,0)</f>
        <v>0</v>
      </c>
      <c r="I196" s="35"/>
      <c r="J196" s="505"/>
      <c r="K196" s="506"/>
      <c r="L196" s="453"/>
      <c r="M196" s="513">
        <f t="shared" si="8"/>
        <v>0</v>
      </c>
      <c r="N196" s="512"/>
      <c r="O196" s="513">
        <f t="shared" si="9"/>
        <v>0</v>
      </c>
      <c r="P196" s="453"/>
      <c r="Q196" s="509">
        <f t="shared" si="11"/>
        <v>2.5000000000000001E-3</v>
      </c>
      <c r="R196" s="453"/>
      <c r="S196" s="513">
        <f t="shared" si="10"/>
        <v>0</v>
      </c>
    </row>
    <row r="197" spans="2:19" hidden="1">
      <c r="B197" s="468">
        <v>185</v>
      </c>
      <c r="C197" s="497"/>
      <c r="D197" s="498"/>
      <c r="E197" s="499"/>
      <c r="F197" s="500"/>
      <c r="G197" s="35"/>
      <c r="H197" s="511">
        <f>IF(Consolidado_A!$G$133=7.6%,-(0.0165+0.076)*F197,0)</f>
        <v>0</v>
      </c>
      <c r="I197" s="35"/>
      <c r="J197" s="505"/>
      <c r="K197" s="506"/>
      <c r="L197" s="453"/>
      <c r="M197" s="513">
        <f t="shared" si="8"/>
        <v>0</v>
      </c>
      <c r="N197" s="512"/>
      <c r="O197" s="513">
        <f t="shared" si="9"/>
        <v>0</v>
      </c>
      <c r="Q197" s="509">
        <f t="shared" si="11"/>
        <v>2.5000000000000001E-3</v>
      </c>
      <c r="S197" s="513">
        <f t="shared" si="10"/>
        <v>0</v>
      </c>
    </row>
    <row r="198" spans="2:19" hidden="1">
      <c r="B198" s="468">
        <v>186</v>
      </c>
      <c r="C198" s="497"/>
      <c r="D198" s="498"/>
      <c r="E198" s="499"/>
      <c r="F198" s="500"/>
      <c r="G198" s="35"/>
      <c r="H198" s="511">
        <f>IF(Consolidado_A!$G$133=7.6%,-(0.0165+0.076)*F198,0)</f>
        <v>0</v>
      </c>
      <c r="I198" s="35"/>
      <c r="J198" s="505"/>
      <c r="K198" s="506"/>
      <c r="L198" s="453"/>
      <c r="M198" s="513">
        <f t="shared" si="8"/>
        <v>0</v>
      </c>
      <c r="N198" s="512"/>
      <c r="O198" s="513">
        <f t="shared" si="9"/>
        <v>0</v>
      </c>
      <c r="Q198" s="509">
        <f t="shared" si="11"/>
        <v>2.5000000000000001E-3</v>
      </c>
      <c r="S198" s="513">
        <f t="shared" si="10"/>
        <v>0</v>
      </c>
    </row>
    <row r="199" spans="2:19" hidden="1">
      <c r="B199" s="468">
        <v>187</v>
      </c>
      <c r="C199" s="497"/>
      <c r="D199" s="498"/>
      <c r="E199" s="499"/>
      <c r="F199" s="500"/>
      <c r="G199" s="35"/>
      <c r="H199" s="511">
        <f>IF(Consolidado_A!$G$133=7.6%,-(0.0165+0.076)*F199,0)</f>
        <v>0</v>
      </c>
      <c r="I199" s="35"/>
      <c r="J199" s="505"/>
      <c r="K199" s="506"/>
      <c r="L199" s="453"/>
      <c r="M199" s="513">
        <f t="shared" si="8"/>
        <v>0</v>
      </c>
      <c r="N199" s="512"/>
      <c r="O199" s="513">
        <f t="shared" si="9"/>
        <v>0</v>
      </c>
      <c r="Q199" s="509">
        <f t="shared" si="11"/>
        <v>2.5000000000000001E-3</v>
      </c>
      <c r="S199" s="513">
        <f t="shared" si="10"/>
        <v>0</v>
      </c>
    </row>
    <row r="200" spans="2:19" hidden="1">
      <c r="B200" s="468">
        <v>188</v>
      </c>
      <c r="C200" s="497"/>
      <c r="D200" s="498"/>
      <c r="E200" s="499"/>
      <c r="F200" s="500"/>
      <c r="G200" s="35"/>
      <c r="H200" s="511">
        <f>IF(Consolidado_A!$G$133=7.6%,-(0.0165+0.076)*F200,0)</f>
        <v>0</v>
      </c>
      <c r="I200" s="35"/>
      <c r="J200" s="505"/>
      <c r="K200" s="506"/>
      <c r="L200" s="453"/>
      <c r="M200" s="513">
        <f t="shared" si="8"/>
        <v>0</v>
      </c>
      <c r="N200" s="512"/>
      <c r="O200" s="513">
        <f t="shared" si="9"/>
        <v>0</v>
      </c>
      <c r="Q200" s="509">
        <f t="shared" si="11"/>
        <v>2.5000000000000001E-3</v>
      </c>
      <c r="S200" s="513">
        <f t="shared" si="10"/>
        <v>0</v>
      </c>
    </row>
    <row r="201" spans="2:19" hidden="1">
      <c r="B201" s="468">
        <v>189</v>
      </c>
      <c r="C201" s="497"/>
      <c r="D201" s="498"/>
      <c r="E201" s="499"/>
      <c r="F201" s="500"/>
      <c r="G201" s="35"/>
      <c r="H201" s="511">
        <f>IF(Consolidado_A!$G$133=7.6%,-(0.0165+0.076)*F201,0)</f>
        <v>0</v>
      </c>
      <c r="I201" s="35"/>
      <c r="J201" s="505"/>
      <c r="K201" s="506"/>
      <c r="L201" s="453"/>
      <c r="M201" s="513">
        <f t="shared" si="8"/>
        <v>0</v>
      </c>
      <c r="N201" s="512"/>
      <c r="O201" s="513">
        <f t="shared" si="9"/>
        <v>0</v>
      </c>
      <c r="Q201" s="509">
        <f t="shared" si="11"/>
        <v>2.5000000000000001E-3</v>
      </c>
      <c r="S201" s="513">
        <f t="shared" si="10"/>
        <v>0</v>
      </c>
    </row>
    <row r="202" spans="2:19" hidden="1">
      <c r="B202" s="468">
        <v>190</v>
      </c>
      <c r="C202" s="497"/>
      <c r="D202" s="498"/>
      <c r="E202" s="499"/>
      <c r="F202" s="500"/>
      <c r="G202" s="35"/>
      <c r="H202" s="511">
        <f>IF(Consolidado_A!$G$133=7.6%,-(0.0165+0.076)*F202,0)</f>
        <v>0</v>
      </c>
      <c r="I202" s="35"/>
      <c r="J202" s="505"/>
      <c r="K202" s="506"/>
      <c r="L202" s="453"/>
      <c r="M202" s="513">
        <f t="shared" si="8"/>
        <v>0</v>
      </c>
      <c r="N202" s="512"/>
      <c r="O202" s="513">
        <f t="shared" si="9"/>
        <v>0</v>
      </c>
      <c r="Q202" s="509">
        <f t="shared" si="11"/>
        <v>2.5000000000000001E-3</v>
      </c>
      <c r="S202" s="513">
        <f t="shared" si="10"/>
        <v>0</v>
      </c>
    </row>
    <row r="203" spans="2:19" hidden="1">
      <c r="B203" s="468">
        <v>191</v>
      </c>
      <c r="C203" s="497"/>
      <c r="D203" s="498"/>
      <c r="E203" s="499"/>
      <c r="F203" s="500"/>
      <c r="G203" s="35"/>
      <c r="H203" s="511">
        <f>IF(Consolidado_A!$G$133=7.6%,-(0.0165+0.076)*F203,0)</f>
        <v>0</v>
      </c>
      <c r="I203" s="35"/>
      <c r="J203" s="505"/>
      <c r="K203" s="506"/>
      <c r="L203" s="453"/>
      <c r="M203" s="513">
        <f t="shared" si="8"/>
        <v>0</v>
      </c>
      <c r="N203" s="512"/>
      <c r="O203" s="513">
        <f t="shared" si="9"/>
        <v>0</v>
      </c>
      <c r="Q203" s="509">
        <f t="shared" si="11"/>
        <v>2.5000000000000001E-3</v>
      </c>
      <c r="S203" s="513">
        <f t="shared" si="10"/>
        <v>0</v>
      </c>
    </row>
    <row r="204" spans="2:19" hidden="1">
      <c r="B204" s="468">
        <v>192</v>
      </c>
      <c r="C204" s="497"/>
      <c r="D204" s="498"/>
      <c r="E204" s="499"/>
      <c r="F204" s="500"/>
      <c r="G204" s="35"/>
      <c r="H204" s="511">
        <f>IF(Consolidado_A!$G$133=7.6%,-(0.0165+0.076)*F204,0)</f>
        <v>0</v>
      </c>
      <c r="I204" s="35"/>
      <c r="J204" s="505"/>
      <c r="K204" s="506"/>
      <c r="L204" s="453"/>
      <c r="M204" s="513">
        <f t="shared" si="8"/>
        <v>0</v>
      </c>
      <c r="N204" s="512"/>
      <c r="O204" s="513">
        <f t="shared" si="9"/>
        <v>0</v>
      </c>
      <c r="Q204" s="509">
        <f t="shared" si="11"/>
        <v>2.5000000000000001E-3</v>
      </c>
      <c r="S204" s="513">
        <f t="shared" si="10"/>
        <v>0</v>
      </c>
    </row>
    <row r="205" spans="2:19" hidden="1">
      <c r="B205" s="468">
        <v>193</v>
      </c>
      <c r="C205" s="497"/>
      <c r="D205" s="498"/>
      <c r="E205" s="499"/>
      <c r="F205" s="500"/>
      <c r="G205" s="35"/>
      <c r="H205" s="511">
        <f>IF(Consolidado_A!$G$133=7.6%,-(0.0165+0.076)*F205,0)</f>
        <v>0</v>
      </c>
      <c r="I205" s="35"/>
      <c r="J205" s="505"/>
      <c r="K205" s="506"/>
      <c r="L205" s="453"/>
      <c r="M205" s="513">
        <f t="shared" ref="M205:M268" si="12">IF(E205&gt;0,(F205+H205)-J205,0)</f>
        <v>0</v>
      </c>
      <c r="N205" s="512"/>
      <c r="O205" s="513">
        <f t="shared" ref="O205:O268" si="13">IF(E205=0,0,(M205/K205)*E205)</f>
        <v>0</v>
      </c>
      <c r="Q205" s="509">
        <f t="shared" si="11"/>
        <v>2.5000000000000001E-3</v>
      </c>
      <c r="S205" s="513">
        <f t="shared" ref="S205:S268" si="14">E205*(M205*Q205)</f>
        <v>0</v>
      </c>
    </row>
    <row r="206" spans="2:19" hidden="1">
      <c r="B206" s="468">
        <v>194</v>
      </c>
      <c r="C206" s="497"/>
      <c r="D206" s="498"/>
      <c r="E206" s="499"/>
      <c r="F206" s="500"/>
      <c r="G206" s="35"/>
      <c r="H206" s="511">
        <f>IF(Consolidado_A!$G$133=7.6%,-(0.0165+0.076)*F206,0)</f>
        <v>0</v>
      </c>
      <c r="I206" s="35"/>
      <c r="J206" s="505"/>
      <c r="K206" s="506"/>
      <c r="L206" s="453"/>
      <c r="M206" s="513">
        <f t="shared" si="12"/>
        <v>0</v>
      </c>
      <c r="N206" s="512"/>
      <c r="O206" s="513">
        <f t="shared" si="13"/>
        <v>0</v>
      </c>
      <c r="Q206" s="509">
        <f t="shared" ref="Q206:Q269" si="15">Q205</f>
        <v>2.5000000000000001E-3</v>
      </c>
      <c r="S206" s="513">
        <f t="shared" si="14"/>
        <v>0</v>
      </c>
    </row>
    <row r="207" spans="2:19" hidden="1">
      <c r="B207" s="468">
        <v>195</v>
      </c>
      <c r="C207" s="497"/>
      <c r="D207" s="498"/>
      <c r="E207" s="499"/>
      <c r="F207" s="500"/>
      <c r="G207" s="35"/>
      <c r="H207" s="511">
        <f>IF(Consolidado_A!$G$133=7.6%,-(0.0165+0.076)*F207,0)</f>
        <v>0</v>
      </c>
      <c r="I207" s="35"/>
      <c r="J207" s="505"/>
      <c r="K207" s="506"/>
      <c r="L207" s="453"/>
      <c r="M207" s="513">
        <f t="shared" si="12"/>
        <v>0</v>
      </c>
      <c r="N207" s="512"/>
      <c r="O207" s="513">
        <f t="shared" si="13"/>
        <v>0</v>
      </c>
      <c r="Q207" s="509">
        <f t="shared" si="15"/>
        <v>2.5000000000000001E-3</v>
      </c>
      <c r="S207" s="513">
        <f t="shared" si="14"/>
        <v>0</v>
      </c>
    </row>
    <row r="208" spans="2:19" hidden="1">
      <c r="B208" s="468">
        <v>196</v>
      </c>
      <c r="C208" s="497"/>
      <c r="D208" s="498"/>
      <c r="E208" s="499"/>
      <c r="F208" s="500"/>
      <c r="G208" s="35"/>
      <c r="H208" s="511">
        <f>IF(Consolidado_A!$G$133=7.6%,-(0.0165+0.076)*F208,0)</f>
        <v>0</v>
      </c>
      <c r="I208" s="35"/>
      <c r="J208" s="505"/>
      <c r="K208" s="506"/>
      <c r="L208" s="453"/>
      <c r="M208" s="513">
        <f t="shared" si="12"/>
        <v>0</v>
      </c>
      <c r="N208" s="512"/>
      <c r="O208" s="513">
        <f t="shared" si="13"/>
        <v>0</v>
      </c>
      <c r="Q208" s="509">
        <f t="shared" si="15"/>
        <v>2.5000000000000001E-3</v>
      </c>
      <c r="S208" s="513">
        <f t="shared" si="14"/>
        <v>0</v>
      </c>
    </row>
    <row r="209" spans="2:19" hidden="1">
      <c r="B209" s="468">
        <v>197</v>
      </c>
      <c r="C209" s="497"/>
      <c r="D209" s="498"/>
      <c r="E209" s="499"/>
      <c r="F209" s="500"/>
      <c r="G209" s="35"/>
      <c r="H209" s="511">
        <f>IF(Consolidado_A!$G$133=7.6%,-(0.0165+0.076)*F209,0)</f>
        <v>0</v>
      </c>
      <c r="I209" s="35"/>
      <c r="J209" s="505"/>
      <c r="K209" s="506"/>
      <c r="L209" s="453"/>
      <c r="M209" s="513">
        <f t="shared" si="12"/>
        <v>0</v>
      </c>
      <c r="N209" s="512"/>
      <c r="O209" s="513">
        <f t="shared" si="13"/>
        <v>0</v>
      </c>
      <c r="Q209" s="509">
        <f t="shared" si="15"/>
        <v>2.5000000000000001E-3</v>
      </c>
      <c r="S209" s="513">
        <f t="shared" si="14"/>
        <v>0</v>
      </c>
    </row>
    <row r="210" spans="2:19" hidden="1">
      <c r="B210" s="468">
        <v>198</v>
      </c>
      <c r="C210" s="497"/>
      <c r="D210" s="498"/>
      <c r="E210" s="499"/>
      <c r="F210" s="500"/>
      <c r="G210" s="35"/>
      <c r="H210" s="511">
        <f>IF(Consolidado_A!$G$133=7.6%,-(0.0165+0.076)*F210,0)</f>
        <v>0</v>
      </c>
      <c r="I210" s="35"/>
      <c r="J210" s="505"/>
      <c r="K210" s="506"/>
      <c r="L210" s="453"/>
      <c r="M210" s="513">
        <f t="shared" si="12"/>
        <v>0</v>
      </c>
      <c r="N210" s="512"/>
      <c r="O210" s="513">
        <f t="shared" si="13"/>
        <v>0</v>
      </c>
      <c r="P210" s="453"/>
      <c r="Q210" s="509">
        <f t="shared" si="15"/>
        <v>2.5000000000000001E-3</v>
      </c>
      <c r="R210" s="453"/>
      <c r="S210" s="513">
        <f t="shared" si="14"/>
        <v>0</v>
      </c>
    </row>
    <row r="211" spans="2:19" hidden="1">
      <c r="B211" s="468">
        <v>199</v>
      </c>
      <c r="C211" s="497"/>
      <c r="D211" s="498"/>
      <c r="E211" s="499"/>
      <c r="F211" s="500"/>
      <c r="G211" s="35"/>
      <c r="H211" s="511">
        <f>IF(Consolidado_A!$G$133=7.6%,-(0.0165+0.076)*F211,0)</f>
        <v>0</v>
      </c>
      <c r="I211" s="35"/>
      <c r="J211" s="505"/>
      <c r="K211" s="506"/>
      <c r="L211" s="453"/>
      <c r="M211" s="513">
        <f t="shared" si="12"/>
        <v>0</v>
      </c>
      <c r="N211" s="512"/>
      <c r="O211" s="513">
        <f t="shared" si="13"/>
        <v>0</v>
      </c>
      <c r="P211" s="453"/>
      <c r="Q211" s="509">
        <f t="shared" si="15"/>
        <v>2.5000000000000001E-3</v>
      </c>
      <c r="R211" s="453"/>
      <c r="S211" s="513">
        <f t="shared" si="14"/>
        <v>0</v>
      </c>
    </row>
    <row r="212" spans="2:19" hidden="1">
      <c r="B212" s="468">
        <v>200</v>
      </c>
      <c r="C212" s="497"/>
      <c r="D212" s="498"/>
      <c r="E212" s="499"/>
      <c r="F212" s="500"/>
      <c r="G212" s="35"/>
      <c r="H212" s="511">
        <f>IF(Consolidado_A!$G$133=7.6%,-(0.0165+0.076)*F212,0)</f>
        <v>0</v>
      </c>
      <c r="I212" s="35"/>
      <c r="J212" s="505"/>
      <c r="K212" s="506"/>
      <c r="L212" s="453"/>
      <c r="M212" s="513">
        <f t="shared" si="12"/>
        <v>0</v>
      </c>
      <c r="N212" s="512"/>
      <c r="O212" s="513">
        <f t="shared" si="13"/>
        <v>0</v>
      </c>
      <c r="P212" s="453"/>
      <c r="Q212" s="509">
        <f t="shared" si="15"/>
        <v>2.5000000000000001E-3</v>
      </c>
      <c r="R212" s="453"/>
      <c r="S212" s="513">
        <f t="shared" si="14"/>
        <v>0</v>
      </c>
    </row>
    <row r="213" spans="2:19" hidden="1">
      <c r="B213" s="468">
        <v>201</v>
      </c>
      <c r="C213" s="497"/>
      <c r="D213" s="498"/>
      <c r="E213" s="499"/>
      <c r="F213" s="500"/>
      <c r="G213" s="35"/>
      <c r="H213" s="511">
        <f>IF(Consolidado_A!$G$133=7.6%,-(0.0165+0.076)*F213,0)</f>
        <v>0</v>
      </c>
      <c r="I213" s="35"/>
      <c r="J213" s="505"/>
      <c r="K213" s="506"/>
      <c r="L213" s="453"/>
      <c r="M213" s="513">
        <f t="shared" si="12"/>
        <v>0</v>
      </c>
      <c r="N213" s="512"/>
      <c r="O213" s="513">
        <f t="shared" si="13"/>
        <v>0</v>
      </c>
      <c r="P213" s="453"/>
      <c r="Q213" s="509">
        <f t="shared" si="15"/>
        <v>2.5000000000000001E-3</v>
      </c>
      <c r="R213" s="453"/>
      <c r="S213" s="513">
        <f t="shared" si="14"/>
        <v>0</v>
      </c>
    </row>
    <row r="214" spans="2:19" hidden="1">
      <c r="B214" s="468">
        <v>202</v>
      </c>
      <c r="C214" s="497"/>
      <c r="D214" s="498"/>
      <c r="E214" s="499"/>
      <c r="F214" s="500"/>
      <c r="G214" s="35"/>
      <c r="H214" s="511">
        <f>IF(Consolidado_A!$G$133=7.6%,-(0.0165+0.076)*F214,0)</f>
        <v>0</v>
      </c>
      <c r="I214" s="35"/>
      <c r="J214" s="505"/>
      <c r="K214" s="506"/>
      <c r="L214" s="453"/>
      <c r="M214" s="513">
        <f t="shared" si="12"/>
        <v>0</v>
      </c>
      <c r="N214" s="512"/>
      <c r="O214" s="513">
        <f t="shared" si="13"/>
        <v>0</v>
      </c>
      <c r="P214" s="453"/>
      <c r="Q214" s="509">
        <f t="shared" si="15"/>
        <v>2.5000000000000001E-3</v>
      </c>
      <c r="R214" s="453"/>
      <c r="S214" s="513">
        <f t="shared" si="14"/>
        <v>0</v>
      </c>
    </row>
    <row r="215" spans="2:19" hidden="1">
      <c r="B215" s="468">
        <v>203</v>
      </c>
      <c r="C215" s="497"/>
      <c r="D215" s="498"/>
      <c r="E215" s="499"/>
      <c r="F215" s="500"/>
      <c r="G215" s="35"/>
      <c r="H215" s="511">
        <f>IF(Consolidado_A!$G$133=7.6%,-(0.0165+0.076)*F215,0)</f>
        <v>0</v>
      </c>
      <c r="I215" s="35"/>
      <c r="J215" s="505"/>
      <c r="K215" s="506"/>
      <c r="L215" s="453"/>
      <c r="M215" s="513">
        <f t="shared" si="12"/>
        <v>0</v>
      </c>
      <c r="N215" s="512"/>
      <c r="O215" s="513">
        <f t="shared" si="13"/>
        <v>0</v>
      </c>
      <c r="P215" s="453"/>
      <c r="Q215" s="509">
        <f t="shared" si="15"/>
        <v>2.5000000000000001E-3</v>
      </c>
      <c r="R215" s="453"/>
      <c r="S215" s="513">
        <f t="shared" si="14"/>
        <v>0</v>
      </c>
    </row>
    <row r="216" spans="2:19" hidden="1">
      <c r="B216" s="468">
        <v>204</v>
      </c>
      <c r="C216" s="497"/>
      <c r="D216" s="498"/>
      <c r="E216" s="499"/>
      <c r="F216" s="500"/>
      <c r="G216" s="35"/>
      <c r="H216" s="511">
        <f>IF(Consolidado_A!$G$133=7.6%,-(0.0165+0.076)*F216,0)</f>
        <v>0</v>
      </c>
      <c r="I216" s="35"/>
      <c r="J216" s="505"/>
      <c r="K216" s="506"/>
      <c r="L216" s="453"/>
      <c r="M216" s="513">
        <f t="shared" si="12"/>
        <v>0</v>
      </c>
      <c r="N216" s="512"/>
      <c r="O216" s="513">
        <f t="shared" si="13"/>
        <v>0</v>
      </c>
      <c r="P216" s="453"/>
      <c r="Q216" s="509">
        <f t="shared" si="15"/>
        <v>2.5000000000000001E-3</v>
      </c>
      <c r="R216" s="453"/>
      <c r="S216" s="513">
        <f t="shared" si="14"/>
        <v>0</v>
      </c>
    </row>
    <row r="217" spans="2:19" hidden="1">
      <c r="B217" s="468">
        <v>205</v>
      </c>
      <c r="C217" s="497"/>
      <c r="D217" s="498"/>
      <c r="E217" s="499"/>
      <c r="F217" s="500"/>
      <c r="G217" s="35"/>
      <c r="H217" s="511">
        <f>IF(Consolidado_A!$G$133=7.6%,-(0.0165+0.076)*F217,0)</f>
        <v>0</v>
      </c>
      <c r="I217" s="35"/>
      <c r="J217" s="505"/>
      <c r="K217" s="506"/>
      <c r="L217" s="453"/>
      <c r="M217" s="513">
        <f t="shared" si="12"/>
        <v>0</v>
      </c>
      <c r="N217" s="512"/>
      <c r="O217" s="513">
        <f t="shared" si="13"/>
        <v>0</v>
      </c>
      <c r="P217" s="453"/>
      <c r="Q217" s="509">
        <f t="shared" si="15"/>
        <v>2.5000000000000001E-3</v>
      </c>
      <c r="R217" s="453"/>
      <c r="S217" s="513">
        <f t="shared" si="14"/>
        <v>0</v>
      </c>
    </row>
    <row r="218" spans="2:19" hidden="1">
      <c r="B218" s="468">
        <v>206</v>
      </c>
      <c r="C218" s="497"/>
      <c r="D218" s="498"/>
      <c r="E218" s="499"/>
      <c r="F218" s="500"/>
      <c r="G218" s="35"/>
      <c r="H218" s="511">
        <f>IF(Consolidado_A!$G$133=7.6%,-(0.0165+0.076)*F218,0)</f>
        <v>0</v>
      </c>
      <c r="I218" s="35"/>
      <c r="J218" s="505"/>
      <c r="K218" s="506"/>
      <c r="L218" s="453"/>
      <c r="M218" s="513">
        <f t="shared" si="12"/>
        <v>0</v>
      </c>
      <c r="N218" s="512"/>
      <c r="O218" s="513">
        <f t="shared" si="13"/>
        <v>0</v>
      </c>
      <c r="P218" s="453"/>
      <c r="Q218" s="509">
        <f t="shared" si="15"/>
        <v>2.5000000000000001E-3</v>
      </c>
      <c r="R218" s="453"/>
      <c r="S218" s="513">
        <f t="shared" si="14"/>
        <v>0</v>
      </c>
    </row>
    <row r="219" spans="2:19" hidden="1">
      <c r="B219" s="468">
        <v>207</v>
      </c>
      <c r="C219" s="497"/>
      <c r="D219" s="498"/>
      <c r="E219" s="499"/>
      <c r="F219" s="500"/>
      <c r="G219" s="35"/>
      <c r="H219" s="511">
        <f>IF(Consolidado_A!$G$133=7.6%,-(0.0165+0.076)*F219,0)</f>
        <v>0</v>
      </c>
      <c r="I219" s="35"/>
      <c r="J219" s="505"/>
      <c r="K219" s="506"/>
      <c r="L219" s="453"/>
      <c r="M219" s="513">
        <f t="shared" si="12"/>
        <v>0</v>
      </c>
      <c r="N219" s="512"/>
      <c r="O219" s="513">
        <f t="shared" si="13"/>
        <v>0</v>
      </c>
      <c r="P219" s="453"/>
      <c r="Q219" s="509">
        <f t="shared" si="15"/>
        <v>2.5000000000000001E-3</v>
      </c>
      <c r="R219" s="453"/>
      <c r="S219" s="513">
        <f t="shared" si="14"/>
        <v>0</v>
      </c>
    </row>
    <row r="220" spans="2:19" hidden="1">
      <c r="B220" s="468">
        <v>208</v>
      </c>
      <c r="C220" s="497"/>
      <c r="D220" s="498"/>
      <c r="E220" s="499"/>
      <c r="F220" s="500"/>
      <c r="G220" s="35"/>
      <c r="H220" s="511">
        <f>IF(Consolidado_A!$G$133=7.6%,-(0.0165+0.076)*F220,0)</f>
        <v>0</v>
      </c>
      <c r="I220" s="35"/>
      <c r="J220" s="505"/>
      <c r="K220" s="506"/>
      <c r="L220" s="453"/>
      <c r="M220" s="513">
        <f t="shared" si="12"/>
        <v>0</v>
      </c>
      <c r="N220" s="512"/>
      <c r="O220" s="513">
        <f t="shared" si="13"/>
        <v>0</v>
      </c>
      <c r="P220" s="453"/>
      <c r="Q220" s="509">
        <f t="shared" si="15"/>
        <v>2.5000000000000001E-3</v>
      </c>
      <c r="R220" s="453"/>
      <c r="S220" s="513">
        <f t="shared" si="14"/>
        <v>0</v>
      </c>
    </row>
    <row r="221" spans="2:19" hidden="1">
      <c r="B221" s="468">
        <v>209</v>
      </c>
      <c r="C221" s="497"/>
      <c r="D221" s="498"/>
      <c r="E221" s="499"/>
      <c r="F221" s="500"/>
      <c r="G221" s="35"/>
      <c r="H221" s="511">
        <f>IF(Consolidado_A!$G$133=7.6%,-(0.0165+0.076)*F221,0)</f>
        <v>0</v>
      </c>
      <c r="I221" s="35"/>
      <c r="J221" s="505"/>
      <c r="K221" s="506"/>
      <c r="L221" s="453"/>
      <c r="M221" s="513">
        <f t="shared" si="12"/>
        <v>0</v>
      </c>
      <c r="N221" s="512"/>
      <c r="O221" s="513">
        <f t="shared" si="13"/>
        <v>0</v>
      </c>
      <c r="Q221" s="509">
        <f t="shared" si="15"/>
        <v>2.5000000000000001E-3</v>
      </c>
      <c r="S221" s="513">
        <f t="shared" si="14"/>
        <v>0</v>
      </c>
    </row>
    <row r="222" spans="2:19" hidden="1">
      <c r="B222" s="468">
        <v>210</v>
      </c>
      <c r="C222" s="497"/>
      <c r="D222" s="498"/>
      <c r="E222" s="499"/>
      <c r="F222" s="500"/>
      <c r="G222" s="35"/>
      <c r="H222" s="511">
        <f>IF(Consolidado_A!$G$133=7.6%,-(0.0165+0.076)*F222,0)</f>
        <v>0</v>
      </c>
      <c r="I222" s="35"/>
      <c r="J222" s="505"/>
      <c r="K222" s="506"/>
      <c r="L222" s="453"/>
      <c r="M222" s="513">
        <f t="shared" si="12"/>
        <v>0</v>
      </c>
      <c r="N222" s="512"/>
      <c r="O222" s="513">
        <f t="shared" si="13"/>
        <v>0</v>
      </c>
      <c r="Q222" s="509">
        <f t="shared" si="15"/>
        <v>2.5000000000000001E-3</v>
      </c>
      <c r="S222" s="513">
        <f t="shared" si="14"/>
        <v>0</v>
      </c>
    </row>
    <row r="223" spans="2:19" hidden="1">
      <c r="B223" s="468">
        <v>211</v>
      </c>
      <c r="C223" s="497"/>
      <c r="D223" s="498"/>
      <c r="E223" s="499"/>
      <c r="F223" s="500"/>
      <c r="G223" s="35"/>
      <c r="H223" s="511">
        <f>IF(Consolidado_A!$G$133=7.6%,-(0.0165+0.076)*F223,0)</f>
        <v>0</v>
      </c>
      <c r="I223" s="35"/>
      <c r="J223" s="505"/>
      <c r="K223" s="506"/>
      <c r="L223" s="453"/>
      <c r="M223" s="513">
        <f t="shared" si="12"/>
        <v>0</v>
      </c>
      <c r="N223" s="512"/>
      <c r="O223" s="513">
        <f t="shared" si="13"/>
        <v>0</v>
      </c>
      <c r="Q223" s="509">
        <f t="shared" si="15"/>
        <v>2.5000000000000001E-3</v>
      </c>
      <c r="S223" s="513">
        <f t="shared" si="14"/>
        <v>0</v>
      </c>
    </row>
    <row r="224" spans="2:19" hidden="1">
      <c r="B224" s="468">
        <v>212</v>
      </c>
      <c r="C224" s="497"/>
      <c r="D224" s="498"/>
      <c r="E224" s="499"/>
      <c r="F224" s="500"/>
      <c r="G224" s="35"/>
      <c r="H224" s="511">
        <f>IF(Consolidado_A!$G$133=7.6%,-(0.0165+0.076)*F224,0)</f>
        <v>0</v>
      </c>
      <c r="I224" s="35"/>
      <c r="J224" s="505"/>
      <c r="K224" s="506"/>
      <c r="L224" s="453"/>
      <c r="M224" s="513">
        <f t="shared" si="12"/>
        <v>0</v>
      </c>
      <c r="N224" s="512"/>
      <c r="O224" s="513">
        <f t="shared" si="13"/>
        <v>0</v>
      </c>
      <c r="Q224" s="509">
        <f t="shared" si="15"/>
        <v>2.5000000000000001E-3</v>
      </c>
      <c r="S224" s="513">
        <f t="shared" si="14"/>
        <v>0</v>
      </c>
    </row>
    <row r="225" spans="2:19" hidden="1">
      <c r="B225" s="468">
        <v>213</v>
      </c>
      <c r="C225" s="497"/>
      <c r="D225" s="498"/>
      <c r="E225" s="499"/>
      <c r="F225" s="500"/>
      <c r="G225" s="35"/>
      <c r="H225" s="511">
        <f>IF(Consolidado_A!$G$133=7.6%,-(0.0165+0.076)*F225,0)</f>
        <v>0</v>
      </c>
      <c r="I225" s="35"/>
      <c r="J225" s="505"/>
      <c r="K225" s="506"/>
      <c r="L225" s="453"/>
      <c r="M225" s="513">
        <f t="shared" si="12"/>
        <v>0</v>
      </c>
      <c r="N225" s="512"/>
      <c r="O225" s="513">
        <f t="shared" si="13"/>
        <v>0</v>
      </c>
      <c r="Q225" s="509">
        <f t="shared" si="15"/>
        <v>2.5000000000000001E-3</v>
      </c>
      <c r="S225" s="513">
        <f t="shared" si="14"/>
        <v>0</v>
      </c>
    </row>
    <row r="226" spans="2:19" hidden="1">
      <c r="B226" s="468">
        <v>214</v>
      </c>
      <c r="C226" s="497"/>
      <c r="D226" s="498"/>
      <c r="E226" s="499"/>
      <c r="F226" s="500"/>
      <c r="G226" s="35"/>
      <c r="H226" s="511">
        <f>IF(Consolidado_A!$G$133=7.6%,-(0.0165+0.076)*F226,0)</f>
        <v>0</v>
      </c>
      <c r="I226" s="35"/>
      <c r="J226" s="505"/>
      <c r="K226" s="506"/>
      <c r="L226" s="453"/>
      <c r="M226" s="513">
        <f t="shared" si="12"/>
        <v>0</v>
      </c>
      <c r="N226" s="512"/>
      <c r="O226" s="513">
        <f t="shared" si="13"/>
        <v>0</v>
      </c>
      <c r="Q226" s="509">
        <f t="shared" si="15"/>
        <v>2.5000000000000001E-3</v>
      </c>
      <c r="S226" s="513">
        <f t="shared" si="14"/>
        <v>0</v>
      </c>
    </row>
    <row r="227" spans="2:19" hidden="1">
      <c r="B227" s="468">
        <v>215</v>
      </c>
      <c r="C227" s="497"/>
      <c r="D227" s="498"/>
      <c r="E227" s="499"/>
      <c r="F227" s="500"/>
      <c r="G227" s="35"/>
      <c r="H227" s="511">
        <f>IF(Consolidado_A!$G$133=7.6%,-(0.0165+0.076)*F227,0)</f>
        <v>0</v>
      </c>
      <c r="I227" s="35"/>
      <c r="J227" s="505"/>
      <c r="K227" s="506"/>
      <c r="L227" s="453"/>
      <c r="M227" s="513">
        <f t="shared" si="12"/>
        <v>0</v>
      </c>
      <c r="N227" s="512"/>
      <c r="O227" s="513">
        <f t="shared" si="13"/>
        <v>0</v>
      </c>
      <c r="Q227" s="509">
        <f t="shared" si="15"/>
        <v>2.5000000000000001E-3</v>
      </c>
      <c r="S227" s="513">
        <f t="shared" si="14"/>
        <v>0</v>
      </c>
    </row>
    <row r="228" spans="2:19" hidden="1">
      <c r="B228" s="468">
        <v>216</v>
      </c>
      <c r="C228" s="497"/>
      <c r="D228" s="498"/>
      <c r="E228" s="499"/>
      <c r="F228" s="500"/>
      <c r="G228" s="35"/>
      <c r="H228" s="511">
        <f>IF(Consolidado_A!$G$133=7.6%,-(0.0165+0.076)*F228,0)</f>
        <v>0</v>
      </c>
      <c r="I228" s="35"/>
      <c r="J228" s="505"/>
      <c r="K228" s="506"/>
      <c r="L228" s="453"/>
      <c r="M228" s="513">
        <f t="shared" si="12"/>
        <v>0</v>
      </c>
      <c r="N228" s="512"/>
      <c r="O228" s="513">
        <f t="shared" si="13"/>
        <v>0</v>
      </c>
      <c r="Q228" s="509">
        <f t="shared" si="15"/>
        <v>2.5000000000000001E-3</v>
      </c>
      <c r="S228" s="513">
        <f t="shared" si="14"/>
        <v>0</v>
      </c>
    </row>
    <row r="229" spans="2:19" hidden="1">
      <c r="B229" s="468">
        <v>217</v>
      </c>
      <c r="C229" s="497"/>
      <c r="D229" s="498"/>
      <c r="E229" s="499"/>
      <c r="F229" s="500"/>
      <c r="G229" s="35"/>
      <c r="H229" s="511">
        <f>IF(Consolidado_A!$G$133=7.6%,-(0.0165+0.076)*F229,0)</f>
        <v>0</v>
      </c>
      <c r="I229" s="35"/>
      <c r="J229" s="505"/>
      <c r="K229" s="506"/>
      <c r="L229" s="453"/>
      <c r="M229" s="513">
        <f t="shared" si="12"/>
        <v>0</v>
      </c>
      <c r="N229" s="512"/>
      <c r="O229" s="513">
        <f t="shared" si="13"/>
        <v>0</v>
      </c>
      <c r="Q229" s="509">
        <f t="shared" si="15"/>
        <v>2.5000000000000001E-3</v>
      </c>
      <c r="S229" s="513">
        <f t="shared" si="14"/>
        <v>0</v>
      </c>
    </row>
    <row r="230" spans="2:19" hidden="1">
      <c r="B230" s="468">
        <v>218</v>
      </c>
      <c r="C230" s="497"/>
      <c r="D230" s="498"/>
      <c r="E230" s="499"/>
      <c r="F230" s="500"/>
      <c r="G230" s="35"/>
      <c r="H230" s="511">
        <f>IF(Consolidado_A!$G$133=7.6%,-(0.0165+0.076)*F230,0)</f>
        <v>0</v>
      </c>
      <c r="I230" s="35"/>
      <c r="J230" s="505"/>
      <c r="K230" s="506"/>
      <c r="L230" s="453"/>
      <c r="M230" s="513">
        <f t="shared" si="12"/>
        <v>0</v>
      </c>
      <c r="N230" s="512"/>
      <c r="O230" s="513">
        <f t="shared" si="13"/>
        <v>0</v>
      </c>
      <c r="Q230" s="509">
        <f t="shared" si="15"/>
        <v>2.5000000000000001E-3</v>
      </c>
      <c r="S230" s="513">
        <f t="shared" si="14"/>
        <v>0</v>
      </c>
    </row>
    <row r="231" spans="2:19" hidden="1">
      <c r="B231" s="468">
        <v>219</v>
      </c>
      <c r="C231" s="497"/>
      <c r="D231" s="498"/>
      <c r="E231" s="499"/>
      <c r="F231" s="500"/>
      <c r="G231" s="35"/>
      <c r="H231" s="511">
        <f>IF(Consolidado_A!$G$133=7.6%,-(0.0165+0.076)*F231,0)</f>
        <v>0</v>
      </c>
      <c r="I231" s="35"/>
      <c r="J231" s="505"/>
      <c r="K231" s="506"/>
      <c r="L231" s="453"/>
      <c r="M231" s="513">
        <f t="shared" si="12"/>
        <v>0</v>
      </c>
      <c r="N231" s="512"/>
      <c r="O231" s="513">
        <f t="shared" si="13"/>
        <v>0</v>
      </c>
      <c r="Q231" s="509">
        <f t="shared" si="15"/>
        <v>2.5000000000000001E-3</v>
      </c>
      <c r="S231" s="513">
        <f t="shared" si="14"/>
        <v>0</v>
      </c>
    </row>
    <row r="232" spans="2:19" hidden="1">
      <c r="B232" s="468">
        <v>220</v>
      </c>
      <c r="C232" s="497"/>
      <c r="D232" s="498"/>
      <c r="E232" s="499"/>
      <c r="F232" s="500"/>
      <c r="G232" s="35"/>
      <c r="H232" s="511">
        <f>IF(Consolidado_A!$G$133=7.6%,-(0.0165+0.076)*F232,0)</f>
        <v>0</v>
      </c>
      <c r="I232" s="35"/>
      <c r="J232" s="505"/>
      <c r="K232" s="506"/>
      <c r="L232" s="453"/>
      <c r="M232" s="513">
        <f t="shared" si="12"/>
        <v>0</v>
      </c>
      <c r="N232" s="512"/>
      <c r="O232" s="513">
        <f t="shared" si="13"/>
        <v>0</v>
      </c>
      <c r="Q232" s="509">
        <f t="shared" si="15"/>
        <v>2.5000000000000001E-3</v>
      </c>
      <c r="S232" s="513">
        <f t="shared" si="14"/>
        <v>0</v>
      </c>
    </row>
    <row r="233" spans="2:19" hidden="1">
      <c r="B233" s="468">
        <v>221</v>
      </c>
      <c r="C233" s="497"/>
      <c r="D233" s="498"/>
      <c r="E233" s="499"/>
      <c r="F233" s="500"/>
      <c r="G233" s="35"/>
      <c r="H233" s="511">
        <f>IF(Consolidado_A!$G$133=7.6%,-(0.0165+0.076)*F233,0)</f>
        <v>0</v>
      </c>
      <c r="I233" s="35"/>
      <c r="J233" s="505"/>
      <c r="K233" s="506"/>
      <c r="L233" s="453"/>
      <c r="M233" s="513">
        <f t="shared" si="12"/>
        <v>0</v>
      </c>
      <c r="N233" s="512"/>
      <c r="O233" s="513">
        <f t="shared" si="13"/>
        <v>0</v>
      </c>
      <c r="Q233" s="509">
        <f t="shared" si="15"/>
        <v>2.5000000000000001E-3</v>
      </c>
      <c r="S233" s="513">
        <f t="shared" si="14"/>
        <v>0</v>
      </c>
    </row>
    <row r="234" spans="2:19" hidden="1">
      <c r="B234" s="468">
        <v>222</v>
      </c>
      <c r="C234" s="497"/>
      <c r="D234" s="498"/>
      <c r="E234" s="499"/>
      <c r="F234" s="500"/>
      <c r="G234" s="35"/>
      <c r="H234" s="511">
        <f>IF(Consolidado_A!$G$133=7.6%,-(0.0165+0.076)*F234,0)</f>
        <v>0</v>
      </c>
      <c r="I234" s="35"/>
      <c r="J234" s="505"/>
      <c r="K234" s="506"/>
      <c r="L234" s="453"/>
      <c r="M234" s="513">
        <f t="shared" si="12"/>
        <v>0</v>
      </c>
      <c r="N234" s="512"/>
      <c r="O234" s="513">
        <f t="shared" si="13"/>
        <v>0</v>
      </c>
      <c r="P234" s="453"/>
      <c r="Q234" s="509">
        <f t="shared" si="15"/>
        <v>2.5000000000000001E-3</v>
      </c>
      <c r="R234" s="453"/>
      <c r="S234" s="513">
        <f t="shared" si="14"/>
        <v>0</v>
      </c>
    </row>
    <row r="235" spans="2:19" hidden="1">
      <c r="B235" s="468">
        <v>223</v>
      </c>
      <c r="C235" s="497"/>
      <c r="D235" s="498"/>
      <c r="E235" s="499"/>
      <c r="F235" s="500"/>
      <c r="G235" s="35"/>
      <c r="H235" s="511">
        <f>IF(Consolidado_A!$G$133=7.6%,-(0.0165+0.076)*F235,0)</f>
        <v>0</v>
      </c>
      <c r="I235" s="35"/>
      <c r="J235" s="505"/>
      <c r="K235" s="506"/>
      <c r="L235" s="453"/>
      <c r="M235" s="513">
        <f t="shared" si="12"/>
        <v>0</v>
      </c>
      <c r="N235" s="512"/>
      <c r="O235" s="513">
        <f t="shared" si="13"/>
        <v>0</v>
      </c>
      <c r="P235" s="453"/>
      <c r="Q235" s="509">
        <f t="shared" si="15"/>
        <v>2.5000000000000001E-3</v>
      </c>
      <c r="R235" s="453"/>
      <c r="S235" s="513">
        <f t="shared" si="14"/>
        <v>0</v>
      </c>
    </row>
    <row r="236" spans="2:19" hidden="1">
      <c r="B236" s="468">
        <v>224</v>
      </c>
      <c r="C236" s="497"/>
      <c r="D236" s="498"/>
      <c r="E236" s="499"/>
      <c r="F236" s="500"/>
      <c r="G236" s="35"/>
      <c r="H236" s="511">
        <f>IF(Consolidado_A!$G$133=7.6%,-(0.0165+0.076)*F236,0)</f>
        <v>0</v>
      </c>
      <c r="I236" s="35"/>
      <c r="J236" s="505"/>
      <c r="K236" s="506"/>
      <c r="L236" s="453"/>
      <c r="M236" s="513">
        <f t="shared" si="12"/>
        <v>0</v>
      </c>
      <c r="N236" s="512"/>
      <c r="O236" s="513">
        <f t="shared" si="13"/>
        <v>0</v>
      </c>
      <c r="P236" s="453"/>
      <c r="Q236" s="509">
        <f t="shared" si="15"/>
        <v>2.5000000000000001E-3</v>
      </c>
      <c r="R236" s="453"/>
      <c r="S236" s="513">
        <f t="shared" si="14"/>
        <v>0</v>
      </c>
    </row>
    <row r="237" spans="2:19" hidden="1">
      <c r="B237" s="468">
        <v>225</v>
      </c>
      <c r="C237" s="497"/>
      <c r="D237" s="498"/>
      <c r="E237" s="499"/>
      <c r="F237" s="500"/>
      <c r="G237" s="35"/>
      <c r="H237" s="511">
        <f>IF(Consolidado_A!$G$133=7.6%,-(0.0165+0.076)*F237,0)</f>
        <v>0</v>
      </c>
      <c r="I237" s="35"/>
      <c r="J237" s="505"/>
      <c r="K237" s="506"/>
      <c r="L237" s="453"/>
      <c r="M237" s="513">
        <f t="shared" si="12"/>
        <v>0</v>
      </c>
      <c r="N237" s="512"/>
      <c r="O237" s="513">
        <f t="shared" si="13"/>
        <v>0</v>
      </c>
      <c r="P237" s="453"/>
      <c r="Q237" s="509">
        <f t="shared" si="15"/>
        <v>2.5000000000000001E-3</v>
      </c>
      <c r="R237" s="453"/>
      <c r="S237" s="513">
        <f t="shared" si="14"/>
        <v>0</v>
      </c>
    </row>
    <row r="238" spans="2:19" hidden="1">
      <c r="B238" s="468">
        <v>226</v>
      </c>
      <c r="C238" s="497"/>
      <c r="D238" s="498"/>
      <c r="E238" s="499"/>
      <c r="F238" s="500"/>
      <c r="G238" s="35"/>
      <c r="H238" s="511">
        <f>IF(Consolidado_A!$G$133=7.6%,-(0.0165+0.076)*F238,0)</f>
        <v>0</v>
      </c>
      <c r="I238" s="35"/>
      <c r="J238" s="505"/>
      <c r="K238" s="506"/>
      <c r="L238" s="453"/>
      <c r="M238" s="513">
        <f t="shared" si="12"/>
        <v>0</v>
      </c>
      <c r="N238" s="512"/>
      <c r="O238" s="513">
        <f t="shared" si="13"/>
        <v>0</v>
      </c>
      <c r="P238" s="453"/>
      <c r="Q238" s="509">
        <f t="shared" si="15"/>
        <v>2.5000000000000001E-3</v>
      </c>
      <c r="R238" s="453"/>
      <c r="S238" s="513">
        <f t="shared" si="14"/>
        <v>0</v>
      </c>
    </row>
    <row r="239" spans="2:19" hidden="1">
      <c r="B239" s="468">
        <v>227</v>
      </c>
      <c r="C239" s="497"/>
      <c r="D239" s="498"/>
      <c r="E239" s="499"/>
      <c r="F239" s="500"/>
      <c r="G239" s="35"/>
      <c r="H239" s="511">
        <f>IF(Consolidado_A!$G$133=7.6%,-(0.0165+0.076)*F239,0)</f>
        <v>0</v>
      </c>
      <c r="I239" s="35"/>
      <c r="J239" s="505"/>
      <c r="K239" s="506"/>
      <c r="L239" s="453"/>
      <c r="M239" s="513">
        <f t="shared" si="12"/>
        <v>0</v>
      </c>
      <c r="N239" s="512"/>
      <c r="O239" s="513">
        <f t="shared" si="13"/>
        <v>0</v>
      </c>
      <c r="P239" s="453"/>
      <c r="Q239" s="509">
        <f t="shared" si="15"/>
        <v>2.5000000000000001E-3</v>
      </c>
      <c r="R239" s="453"/>
      <c r="S239" s="513">
        <f t="shared" si="14"/>
        <v>0</v>
      </c>
    </row>
    <row r="240" spans="2:19" hidden="1">
      <c r="B240" s="468">
        <v>228</v>
      </c>
      <c r="C240" s="497"/>
      <c r="D240" s="498"/>
      <c r="E240" s="499"/>
      <c r="F240" s="500"/>
      <c r="G240" s="35"/>
      <c r="H240" s="511">
        <f>IF(Consolidado_A!$G$133=7.6%,-(0.0165+0.076)*F240,0)</f>
        <v>0</v>
      </c>
      <c r="I240" s="35"/>
      <c r="J240" s="505"/>
      <c r="K240" s="506"/>
      <c r="L240" s="453"/>
      <c r="M240" s="513">
        <f t="shared" si="12"/>
        <v>0</v>
      </c>
      <c r="N240" s="512"/>
      <c r="O240" s="513">
        <f t="shared" si="13"/>
        <v>0</v>
      </c>
      <c r="P240" s="453"/>
      <c r="Q240" s="509">
        <f t="shared" si="15"/>
        <v>2.5000000000000001E-3</v>
      </c>
      <c r="R240" s="453"/>
      <c r="S240" s="513">
        <f t="shared" si="14"/>
        <v>0</v>
      </c>
    </row>
    <row r="241" spans="2:19" hidden="1">
      <c r="B241" s="468">
        <v>229</v>
      </c>
      <c r="C241" s="497"/>
      <c r="D241" s="498"/>
      <c r="E241" s="499"/>
      <c r="F241" s="500"/>
      <c r="G241" s="35"/>
      <c r="H241" s="511">
        <f>IF(Consolidado_A!$G$133=7.6%,-(0.0165+0.076)*F241,0)</f>
        <v>0</v>
      </c>
      <c r="I241" s="35"/>
      <c r="J241" s="505"/>
      <c r="K241" s="506"/>
      <c r="L241" s="453"/>
      <c r="M241" s="513">
        <f t="shared" si="12"/>
        <v>0</v>
      </c>
      <c r="N241" s="512"/>
      <c r="O241" s="513">
        <f t="shared" si="13"/>
        <v>0</v>
      </c>
      <c r="P241" s="453"/>
      <c r="Q241" s="509">
        <f t="shared" si="15"/>
        <v>2.5000000000000001E-3</v>
      </c>
      <c r="R241" s="453"/>
      <c r="S241" s="513">
        <f t="shared" si="14"/>
        <v>0</v>
      </c>
    </row>
    <row r="242" spans="2:19" hidden="1">
      <c r="B242" s="468">
        <v>230</v>
      </c>
      <c r="C242" s="497"/>
      <c r="D242" s="498"/>
      <c r="E242" s="499"/>
      <c r="F242" s="500"/>
      <c r="G242" s="35"/>
      <c r="H242" s="511">
        <f>IF(Consolidado_A!$G$133=7.6%,-(0.0165+0.076)*F242,0)</f>
        <v>0</v>
      </c>
      <c r="I242" s="35"/>
      <c r="J242" s="505"/>
      <c r="K242" s="506"/>
      <c r="L242" s="453"/>
      <c r="M242" s="513">
        <f t="shared" si="12"/>
        <v>0</v>
      </c>
      <c r="N242" s="512"/>
      <c r="O242" s="513">
        <f t="shared" si="13"/>
        <v>0</v>
      </c>
      <c r="P242" s="453"/>
      <c r="Q242" s="509">
        <f t="shared" si="15"/>
        <v>2.5000000000000001E-3</v>
      </c>
      <c r="R242" s="453"/>
      <c r="S242" s="513">
        <f t="shared" si="14"/>
        <v>0</v>
      </c>
    </row>
    <row r="243" spans="2:19" hidden="1">
      <c r="B243" s="468">
        <v>231</v>
      </c>
      <c r="C243" s="497"/>
      <c r="D243" s="498"/>
      <c r="E243" s="499"/>
      <c r="F243" s="500"/>
      <c r="G243" s="35"/>
      <c r="H243" s="511">
        <f>IF(Consolidado_A!$G$133=7.6%,-(0.0165+0.076)*F243,0)</f>
        <v>0</v>
      </c>
      <c r="I243" s="35"/>
      <c r="J243" s="505"/>
      <c r="K243" s="506"/>
      <c r="L243" s="453"/>
      <c r="M243" s="513">
        <f t="shared" si="12"/>
        <v>0</v>
      </c>
      <c r="N243" s="512"/>
      <c r="O243" s="513">
        <f t="shared" si="13"/>
        <v>0</v>
      </c>
      <c r="P243" s="453"/>
      <c r="Q243" s="509">
        <f t="shared" si="15"/>
        <v>2.5000000000000001E-3</v>
      </c>
      <c r="R243" s="453"/>
      <c r="S243" s="513">
        <f t="shared" si="14"/>
        <v>0</v>
      </c>
    </row>
    <row r="244" spans="2:19" hidden="1">
      <c r="B244" s="468">
        <v>232</v>
      </c>
      <c r="C244" s="497"/>
      <c r="D244" s="498"/>
      <c r="E244" s="499"/>
      <c r="F244" s="500"/>
      <c r="G244" s="35"/>
      <c r="H244" s="511">
        <f>IF(Consolidado_A!$G$133=7.6%,-(0.0165+0.076)*F244,0)</f>
        <v>0</v>
      </c>
      <c r="I244" s="35"/>
      <c r="J244" s="505"/>
      <c r="K244" s="506"/>
      <c r="L244" s="453"/>
      <c r="M244" s="513">
        <f t="shared" si="12"/>
        <v>0</v>
      </c>
      <c r="N244" s="512"/>
      <c r="O244" s="513">
        <f t="shared" si="13"/>
        <v>0</v>
      </c>
      <c r="P244" s="453"/>
      <c r="Q244" s="509">
        <f t="shared" si="15"/>
        <v>2.5000000000000001E-3</v>
      </c>
      <c r="R244" s="453"/>
      <c r="S244" s="513">
        <f t="shared" si="14"/>
        <v>0</v>
      </c>
    </row>
    <row r="245" spans="2:19" hidden="1">
      <c r="B245" s="468">
        <v>233</v>
      </c>
      <c r="C245" s="497"/>
      <c r="D245" s="498"/>
      <c r="E245" s="499"/>
      <c r="F245" s="500"/>
      <c r="G245" s="35"/>
      <c r="H245" s="511">
        <f>IF(Consolidado_A!$G$133=7.6%,-(0.0165+0.076)*F245,0)</f>
        <v>0</v>
      </c>
      <c r="I245" s="35"/>
      <c r="J245" s="505"/>
      <c r="K245" s="506"/>
      <c r="L245" s="453"/>
      <c r="M245" s="513">
        <f t="shared" si="12"/>
        <v>0</v>
      </c>
      <c r="N245" s="512"/>
      <c r="O245" s="513">
        <f t="shared" si="13"/>
        <v>0</v>
      </c>
      <c r="Q245" s="509">
        <f t="shared" si="15"/>
        <v>2.5000000000000001E-3</v>
      </c>
      <c r="S245" s="513">
        <f t="shared" si="14"/>
        <v>0</v>
      </c>
    </row>
    <row r="246" spans="2:19" hidden="1">
      <c r="B246" s="468">
        <v>234</v>
      </c>
      <c r="C246" s="497"/>
      <c r="D246" s="498"/>
      <c r="E246" s="499"/>
      <c r="F246" s="500"/>
      <c r="G246" s="35"/>
      <c r="H246" s="511">
        <f>IF(Consolidado_A!$G$133=7.6%,-(0.0165+0.076)*F246,0)</f>
        <v>0</v>
      </c>
      <c r="I246" s="35"/>
      <c r="J246" s="505"/>
      <c r="K246" s="506"/>
      <c r="L246" s="453"/>
      <c r="M246" s="513">
        <f t="shared" si="12"/>
        <v>0</v>
      </c>
      <c r="N246" s="512"/>
      <c r="O246" s="513">
        <f t="shared" si="13"/>
        <v>0</v>
      </c>
      <c r="Q246" s="509">
        <f t="shared" si="15"/>
        <v>2.5000000000000001E-3</v>
      </c>
      <c r="S246" s="513">
        <f t="shared" si="14"/>
        <v>0</v>
      </c>
    </row>
    <row r="247" spans="2:19" hidden="1">
      <c r="B247" s="468">
        <v>235</v>
      </c>
      <c r="C247" s="497"/>
      <c r="D247" s="498"/>
      <c r="E247" s="499"/>
      <c r="F247" s="500"/>
      <c r="G247" s="35"/>
      <c r="H247" s="511">
        <f>IF(Consolidado_A!$G$133=7.6%,-(0.0165+0.076)*F247,0)</f>
        <v>0</v>
      </c>
      <c r="I247" s="35"/>
      <c r="J247" s="505"/>
      <c r="K247" s="506"/>
      <c r="L247" s="453"/>
      <c r="M247" s="513">
        <f t="shared" si="12"/>
        <v>0</v>
      </c>
      <c r="N247" s="512"/>
      <c r="O247" s="513">
        <f t="shared" si="13"/>
        <v>0</v>
      </c>
      <c r="Q247" s="509">
        <f t="shared" si="15"/>
        <v>2.5000000000000001E-3</v>
      </c>
      <c r="S247" s="513">
        <f t="shared" si="14"/>
        <v>0</v>
      </c>
    </row>
    <row r="248" spans="2:19" hidden="1">
      <c r="B248" s="468">
        <v>236</v>
      </c>
      <c r="C248" s="497"/>
      <c r="D248" s="498"/>
      <c r="E248" s="499"/>
      <c r="F248" s="500"/>
      <c r="G248" s="35"/>
      <c r="H248" s="511">
        <f>IF(Consolidado_A!$G$133=7.6%,-(0.0165+0.076)*F248,0)</f>
        <v>0</v>
      </c>
      <c r="I248" s="35"/>
      <c r="J248" s="505"/>
      <c r="K248" s="506"/>
      <c r="L248" s="453"/>
      <c r="M248" s="513">
        <f t="shared" si="12"/>
        <v>0</v>
      </c>
      <c r="N248" s="512"/>
      <c r="O248" s="513">
        <f t="shared" si="13"/>
        <v>0</v>
      </c>
      <c r="Q248" s="509">
        <f t="shared" si="15"/>
        <v>2.5000000000000001E-3</v>
      </c>
      <c r="S248" s="513">
        <f t="shared" si="14"/>
        <v>0</v>
      </c>
    </row>
    <row r="249" spans="2:19" hidden="1">
      <c r="B249" s="468">
        <v>237</v>
      </c>
      <c r="C249" s="497"/>
      <c r="D249" s="498"/>
      <c r="E249" s="499"/>
      <c r="F249" s="500"/>
      <c r="G249" s="35"/>
      <c r="H249" s="511">
        <f>IF(Consolidado_A!$G$133=7.6%,-(0.0165+0.076)*F249,0)</f>
        <v>0</v>
      </c>
      <c r="I249" s="35"/>
      <c r="J249" s="505"/>
      <c r="K249" s="506"/>
      <c r="L249" s="453"/>
      <c r="M249" s="513">
        <f t="shared" si="12"/>
        <v>0</v>
      </c>
      <c r="N249" s="512"/>
      <c r="O249" s="513">
        <f t="shared" si="13"/>
        <v>0</v>
      </c>
      <c r="Q249" s="509">
        <f t="shared" si="15"/>
        <v>2.5000000000000001E-3</v>
      </c>
      <c r="S249" s="513">
        <f t="shared" si="14"/>
        <v>0</v>
      </c>
    </row>
    <row r="250" spans="2:19" hidden="1">
      <c r="B250" s="468">
        <v>238</v>
      </c>
      <c r="C250" s="497"/>
      <c r="D250" s="498"/>
      <c r="E250" s="499"/>
      <c r="F250" s="500"/>
      <c r="G250" s="35"/>
      <c r="H250" s="511">
        <f>IF(Consolidado_A!$G$133=7.6%,-(0.0165+0.076)*F250,0)</f>
        <v>0</v>
      </c>
      <c r="I250" s="35"/>
      <c r="J250" s="505"/>
      <c r="K250" s="506"/>
      <c r="L250" s="453"/>
      <c r="M250" s="513">
        <f t="shared" si="12"/>
        <v>0</v>
      </c>
      <c r="N250" s="512"/>
      <c r="O250" s="513">
        <f t="shared" si="13"/>
        <v>0</v>
      </c>
      <c r="Q250" s="509">
        <f t="shared" si="15"/>
        <v>2.5000000000000001E-3</v>
      </c>
      <c r="S250" s="513">
        <f t="shared" si="14"/>
        <v>0</v>
      </c>
    </row>
    <row r="251" spans="2:19" hidden="1">
      <c r="B251" s="468">
        <v>239</v>
      </c>
      <c r="C251" s="497"/>
      <c r="D251" s="498"/>
      <c r="E251" s="499"/>
      <c r="F251" s="500"/>
      <c r="G251" s="35"/>
      <c r="H251" s="511">
        <f>IF(Consolidado_A!$G$133=7.6%,-(0.0165+0.076)*F251,0)</f>
        <v>0</v>
      </c>
      <c r="I251" s="35"/>
      <c r="J251" s="505"/>
      <c r="K251" s="506"/>
      <c r="L251" s="453"/>
      <c r="M251" s="513">
        <f t="shared" si="12"/>
        <v>0</v>
      </c>
      <c r="N251" s="512"/>
      <c r="O251" s="513">
        <f t="shared" si="13"/>
        <v>0</v>
      </c>
      <c r="Q251" s="509">
        <f t="shared" si="15"/>
        <v>2.5000000000000001E-3</v>
      </c>
      <c r="S251" s="513">
        <f t="shared" si="14"/>
        <v>0</v>
      </c>
    </row>
    <row r="252" spans="2:19" hidden="1">
      <c r="B252" s="468">
        <v>240</v>
      </c>
      <c r="C252" s="497"/>
      <c r="D252" s="498"/>
      <c r="E252" s="499"/>
      <c r="F252" s="500"/>
      <c r="G252" s="35"/>
      <c r="H252" s="511">
        <f>IF(Consolidado_A!$G$133=7.6%,-(0.0165+0.076)*F252,0)</f>
        <v>0</v>
      </c>
      <c r="I252" s="35"/>
      <c r="J252" s="505"/>
      <c r="K252" s="506"/>
      <c r="L252" s="453"/>
      <c r="M252" s="513">
        <f t="shared" si="12"/>
        <v>0</v>
      </c>
      <c r="N252" s="512"/>
      <c r="O252" s="513">
        <f t="shared" si="13"/>
        <v>0</v>
      </c>
      <c r="Q252" s="509">
        <f t="shared" si="15"/>
        <v>2.5000000000000001E-3</v>
      </c>
      <c r="S252" s="513">
        <f t="shared" si="14"/>
        <v>0</v>
      </c>
    </row>
    <row r="253" spans="2:19" hidden="1">
      <c r="B253" s="468">
        <v>241</v>
      </c>
      <c r="C253" s="497"/>
      <c r="D253" s="498"/>
      <c r="E253" s="499"/>
      <c r="F253" s="500"/>
      <c r="G253" s="35"/>
      <c r="H253" s="511">
        <f>IF(Consolidado_A!$G$133=7.6%,-(0.0165+0.076)*F253,0)</f>
        <v>0</v>
      </c>
      <c r="I253" s="35"/>
      <c r="J253" s="505"/>
      <c r="K253" s="506"/>
      <c r="L253" s="453"/>
      <c r="M253" s="513">
        <f t="shared" si="12"/>
        <v>0</v>
      </c>
      <c r="N253" s="512"/>
      <c r="O253" s="513">
        <f t="shared" si="13"/>
        <v>0</v>
      </c>
      <c r="Q253" s="509">
        <f t="shared" si="15"/>
        <v>2.5000000000000001E-3</v>
      </c>
      <c r="S253" s="513">
        <f t="shared" si="14"/>
        <v>0</v>
      </c>
    </row>
    <row r="254" spans="2:19" hidden="1">
      <c r="B254" s="468">
        <v>242</v>
      </c>
      <c r="C254" s="497"/>
      <c r="D254" s="498"/>
      <c r="E254" s="499"/>
      <c r="F254" s="500"/>
      <c r="G254" s="35"/>
      <c r="H254" s="511">
        <f>IF(Consolidado_A!$G$133=7.6%,-(0.0165+0.076)*F254,0)</f>
        <v>0</v>
      </c>
      <c r="I254" s="35"/>
      <c r="J254" s="505"/>
      <c r="K254" s="506"/>
      <c r="L254" s="453"/>
      <c r="M254" s="513">
        <f t="shared" si="12"/>
        <v>0</v>
      </c>
      <c r="N254" s="512"/>
      <c r="O254" s="513">
        <f t="shared" si="13"/>
        <v>0</v>
      </c>
      <c r="Q254" s="509">
        <f t="shared" si="15"/>
        <v>2.5000000000000001E-3</v>
      </c>
      <c r="S254" s="513">
        <f t="shared" si="14"/>
        <v>0</v>
      </c>
    </row>
    <row r="255" spans="2:19" hidden="1">
      <c r="B255" s="468">
        <v>243</v>
      </c>
      <c r="C255" s="497"/>
      <c r="D255" s="498"/>
      <c r="E255" s="499"/>
      <c r="F255" s="500"/>
      <c r="G255" s="35"/>
      <c r="H255" s="511">
        <f>IF(Consolidado_A!$G$133=7.6%,-(0.0165+0.076)*F255,0)</f>
        <v>0</v>
      </c>
      <c r="I255" s="35"/>
      <c r="J255" s="505"/>
      <c r="K255" s="506"/>
      <c r="L255" s="453"/>
      <c r="M255" s="513">
        <f t="shared" si="12"/>
        <v>0</v>
      </c>
      <c r="N255" s="512"/>
      <c r="O255" s="513">
        <f t="shared" si="13"/>
        <v>0</v>
      </c>
      <c r="Q255" s="509">
        <f t="shared" si="15"/>
        <v>2.5000000000000001E-3</v>
      </c>
      <c r="S255" s="513">
        <f t="shared" si="14"/>
        <v>0</v>
      </c>
    </row>
    <row r="256" spans="2:19" hidden="1">
      <c r="B256" s="468">
        <v>244</v>
      </c>
      <c r="C256" s="497"/>
      <c r="D256" s="498"/>
      <c r="E256" s="499"/>
      <c r="F256" s="500"/>
      <c r="G256" s="35"/>
      <c r="H256" s="511">
        <f>IF(Consolidado_A!$G$133=7.6%,-(0.0165+0.076)*F256,0)</f>
        <v>0</v>
      </c>
      <c r="I256" s="35"/>
      <c r="J256" s="505"/>
      <c r="K256" s="506"/>
      <c r="L256" s="453"/>
      <c r="M256" s="513">
        <f t="shared" si="12"/>
        <v>0</v>
      </c>
      <c r="N256" s="512"/>
      <c r="O256" s="513">
        <f t="shared" si="13"/>
        <v>0</v>
      </c>
      <c r="Q256" s="509">
        <f t="shared" si="15"/>
        <v>2.5000000000000001E-3</v>
      </c>
      <c r="S256" s="513">
        <f t="shared" si="14"/>
        <v>0</v>
      </c>
    </row>
    <row r="257" spans="2:19" hidden="1">
      <c r="B257" s="468">
        <v>245</v>
      </c>
      <c r="C257" s="497"/>
      <c r="D257" s="498"/>
      <c r="E257" s="499"/>
      <c r="F257" s="500"/>
      <c r="G257" s="35"/>
      <c r="H257" s="511">
        <f>IF(Consolidado_A!$G$133=7.6%,-(0.0165+0.076)*F257,0)</f>
        <v>0</v>
      </c>
      <c r="I257" s="35"/>
      <c r="J257" s="505"/>
      <c r="K257" s="506"/>
      <c r="L257" s="453"/>
      <c r="M257" s="513">
        <f t="shared" si="12"/>
        <v>0</v>
      </c>
      <c r="N257" s="512"/>
      <c r="O257" s="513">
        <f t="shared" si="13"/>
        <v>0</v>
      </c>
      <c r="Q257" s="509">
        <f t="shared" si="15"/>
        <v>2.5000000000000001E-3</v>
      </c>
      <c r="S257" s="513">
        <f t="shared" si="14"/>
        <v>0</v>
      </c>
    </row>
    <row r="258" spans="2:19" hidden="1">
      <c r="B258" s="468">
        <v>246</v>
      </c>
      <c r="C258" s="497"/>
      <c r="D258" s="498"/>
      <c r="E258" s="499"/>
      <c r="F258" s="500"/>
      <c r="G258" s="35"/>
      <c r="H258" s="511">
        <f>IF(Consolidado_A!$G$133=7.6%,-(0.0165+0.076)*F258,0)</f>
        <v>0</v>
      </c>
      <c r="I258" s="35"/>
      <c r="J258" s="505"/>
      <c r="K258" s="506"/>
      <c r="L258" s="453"/>
      <c r="M258" s="513">
        <f t="shared" si="12"/>
        <v>0</v>
      </c>
      <c r="N258" s="512"/>
      <c r="O258" s="513">
        <f t="shared" si="13"/>
        <v>0</v>
      </c>
      <c r="Q258" s="509">
        <f t="shared" si="15"/>
        <v>2.5000000000000001E-3</v>
      </c>
      <c r="S258" s="513">
        <f t="shared" si="14"/>
        <v>0</v>
      </c>
    </row>
    <row r="259" spans="2:19" hidden="1">
      <c r="B259" s="468">
        <v>247</v>
      </c>
      <c r="C259" s="497"/>
      <c r="D259" s="498"/>
      <c r="E259" s="499"/>
      <c r="F259" s="500"/>
      <c r="G259" s="35"/>
      <c r="H259" s="511">
        <f>IF(Consolidado_A!$G$133=7.6%,-(0.0165+0.076)*F259,0)</f>
        <v>0</v>
      </c>
      <c r="I259" s="35"/>
      <c r="J259" s="505"/>
      <c r="K259" s="506"/>
      <c r="L259" s="453"/>
      <c r="M259" s="513">
        <f t="shared" si="12"/>
        <v>0</v>
      </c>
      <c r="N259" s="512"/>
      <c r="O259" s="513">
        <f t="shared" si="13"/>
        <v>0</v>
      </c>
      <c r="Q259" s="509">
        <f t="shared" si="15"/>
        <v>2.5000000000000001E-3</v>
      </c>
      <c r="S259" s="513">
        <f t="shared" si="14"/>
        <v>0</v>
      </c>
    </row>
    <row r="260" spans="2:19" hidden="1">
      <c r="B260" s="468">
        <v>248</v>
      </c>
      <c r="C260" s="497"/>
      <c r="D260" s="498"/>
      <c r="E260" s="499"/>
      <c r="F260" s="500"/>
      <c r="G260" s="35"/>
      <c r="H260" s="511">
        <f>IF(Consolidado_A!$G$133=7.6%,-(0.0165+0.076)*F260,0)</f>
        <v>0</v>
      </c>
      <c r="I260" s="35"/>
      <c r="J260" s="505"/>
      <c r="K260" s="506"/>
      <c r="L260" s="453"/>
      <c r="M260" s="513">
        <f t="shared" si="12"/>
        <v>0</v>
      </c>
      <c r="N260" s="512"/>
      <c r="O260" s="513">
        <f t="shared" si="13"/>
        <v>0</v>
      </c>
      <c r="P260" s="453"/>
      <c r="Q260" s="509">
        <f t="shared" si="15"/>
        <v>2.5000000000000001E-3</v>
      </c>
      <c r="R260" s="453"/>
      <c r="S260" s="513">
        <f t="shared" si="14"/>
        <v>0</v>
      </c>
    </row>
    <row r="261" spans="2:19" hidden="1">
      <c r="B261" s="468">
        <v>249</v>
      </c>
      <c r="C261" s="497"/>
      <c r="D261" s="498"/>
      <c r="E261" s="499"/>
      <c r="F261" s="500"/>
      <c r="G261" s="35"/>
      <c r="H261" s="511">
        <f>IF(Consolidado_A!$G$133=7.6%,-(0.0165+0.076)*F261,0)</f>
        <v>0</v>
      </c>
      <c r="I261" s="35"/>
      <c r="J261" s="505"/>
      <c r="K261" s="506"/>
      <c r="L261" s="453"/>
      <c r="M261" s="513">
        <f t="shared" si="12"/>
        <v>0</v>
      </c>
      <c r="N261" s="512"/>
      <c r="O261" s="513">
        <f t="shared" si="13"/>
        <v>0</v>
      </c>
      <c r="Q261" s="509">
        <f t="shared" si="15"/>
        <v>2.5000000000000001E-3</v>
      </c>
      <c r="S261" s="513">
        <f t="shared" si="14"/>
        <v>0</v>
      </c>
    </row>
    <row r="262" spans="2:19" hidden="1">
      <c r="B262" s="468">
        <v>250</v>
      </c>
      <c r="C262" s="497"/>
      <c r="D262" s="498"/>
      <c r="E262" s="499"/>
      <c r="F262" s="500"/>
      <c r="G262" s="35"/>
      <c r="H262" s="511">
        <f>IF(Consolidado_A!$G$133=7.6%,-(0.0165+0.076)*F262,0)</f>
        <v>0</v>
      </c>
      <c r="I262" s="35"/>
      <c r="J262" s="505"/>
      <c r="K262" s="506"/>
      <c r="L262" s="453"/>
      <c r="M262" s="513">
        <f t="shared" si="12"/>
        <v>0</v>
      </c>
      <c r="N262" s="512"/>
      <c r="O262" s="513">
        <f t="shared" si="13"/>
        <v>0</v>
      </c>
      <c r="Q262" s="509">
        <f t="shared" si="15"/>
        <v>2.5000000000000001E-3</v>
      </c>
      <c r="S262" s="513">
        <f t="shared" si="14"/>
        <v>0</v>
      </c>
    </row>
    <row r="263" spans="2:19" hidden="1">
      <c r="B263" s="468">
        <v>251</v>
      </c>
      <c r="C263" s="497"/>
      <c r="D263" s="498"/>
      <c r="E263" s="499"/>
      <c r="F263" s="500"/>
      <c r="G263" s="35"/>
      <c r="H263" s="511">
        <f>IF(Consolidado_A!$G$133=7.6%,-(0.0165+0.076)*F263,0)</f>
        <v>0</v>
      </c>
      <c r="I263" s="35"/>
      <c r="J263" s="505"/>
      <c r="K263" s="506"/>
      <c r="L263" s="453"/>
      <c r="M263" s="513">
        <f t="shared" si="12"/>
        <v>0</v>
      </c>
      <c r="N263" s="512"/>
      <c r="O263" s="513">
        <f t="shared" si="13"/>
        <v>0</v>
      </c>
      <c r="Q263" s="509">
        <f t="shared" si="15"/>
        <v>2.5000000000000001E-3</v>
      </c>
      <c r="S263" s="513">
        <f t="shared" si="14"/>
        <v>0</v>
      </c>
    </row>
    <row r="264" spans="2:19" hidden="1">
      <c r="B264" s="468">
        <v>252</v>
      </c>
      <c r="C264" s="497"/>
      <c r="D264" s="498"/>
      <c r="E264" s="499"/>
      <c r="F264" s="500"/>
      <c r="G264" s="35"/>
      <c r="H264" s="511">
        <f>IF(Consolidado_A!$G$133=7.6%,-(0.0165+0.076)*F264,0)</f>
        <v>0</v>
      </c>
      <c r="I264" s="35"/>
      <c r="J264" s="505"/>
      <c r="K264" s="506"/>
      <c r="L264" s="453"/>
      <c r="M264" s="513">
        <f t="shared" si="12"/>
        <v>0</v>
      </c>
      <c r="N264" s="512"/>
      <c r="O264" s="513">
        <f t="shared" si="13"/>
        <v>0</v>
      </c>
      <c r="Q264" s="509">
        <f t="shared" si="15"/>
        <v>2.5000000000000001E-3</v>
      </c>
      <c r="S264" s="513">
        <f t="shared" si="14"/>
        <v>0</v>
      </c>
    </row>
    <row r="265" spans="2:19" hidden="1">
      <c r="B265" s="468">
        <v>253</v>
      </c>
      <c r="C265" s="497"/>
      <c r="D265" s="498"/>
      <c r="E265" s="499"/>
      <c r="F265" s="500"/>
      <c r="G265" s="35"/>
      <c r="H265" s="511">
        <f>IF(Consolidado_A!$G$133=7.6%,-(0.0165+0.076)*F265,0)</f>
        <v>0</v>
      </c>
      <c r="I265" s="35"/>
      <c r="J265" s="505"/>
      <c r="K265" s="506"/>
      <c r="L265" s="453"/>
      <c r="M265" s="513">
        <f t="shared" si="12"/>
        <v>0</v>
      </c>
      <c r="N265" s="512"/>
      <c r="O265" s="513">
        <f t="shared" si="13"/>
        <v>0</v>
      </c>
      <c r="Q265" s="509">
        <f t="shared" si="15"/>
        <v>2.5000000000000001E-3</v>
      </c>
      <c r="S265" s="513">
        <f t="shared" si="14"/>
        <v>0</v>
      </c>
    </row>
    <row r="266" spans="2:19" hidden="1">
      <c r="B266" s="468">
        <v>254</v>
      </c>
      <c r="C266" s="497"/>
      <c r="D266" s="498"/>
      <c r="E266" s="499"/>
      <c r="F266" s="500"/>
      <c r="G266" s="35"/>
      <c r="H266" s="511">
        <f>IF(Consolidado_A!$G$133=7.6%,-(0.0165+0.076)*F266,0)</f>
        <v>0</v>
      </c>
      <c r="I266" s="35"/>
      <c r="J266" s="505"/>
      <c r="K266" s="506"/>
      <c r="L266" s="453"/>
      <c r="M266" s="513">
        <f t="shared" si="12"/>
        <v>0</v>
      </c>
      <c r="N266" s="512"/>
      <c r="O266" s="513">
        <f t="shared" si="13"/>
        <v>0</v>
      </c>
      <c r="Q266" s="509">
        <f t="shared" si="15"/>
        <v>2.5000000000000001E-3</v>
      </c>
      <c r="S266" s="513">
        <f t="shared" si="14"/>
        <v>0</v>
      </c>
    </row>
    <row r="267" spans="2:19" hidden="1">
      <c r="B267" s="468">
        <v>255</v>
      </c>
      <c r="C267" s="497"/>
      <c r="D267" s="498"/>
      <c r="E267" s="499"/>
      <c r="F267" s="500"/>
      <c r="G267" s="35"/>
      <c r="H267" s="511">
        <f>IF(Consolidado_A!$G$133=7.6%,-(0.0165+0.076)*F267,0)</f>
        <v>0</v>
      </c>
      <c r="I267" s="35"/>
      <c r="J267" s="505"/>
      <c r="K267" s="506"/>
      <c r="L267" s="453"/>
      <c r="M267" s="513">
        <f t="shared" si="12"/>
        <v>0</v>
      </c>
      <c r="N267" s="512"/>
      <c r="O267" s="513">
        <f t="shared" si="13"/>
        <v>0</v>
      </c>
      <c r="Q267" s="509">
        <f t="shared" si="15"/>
        <v>2.5000000000000001E-3</v>
      </c>
      <c r="S267" s="513">
        <f t="shared" si="14"/>
        <v>0</v>
      </c>
    </row>
    <row r="268" spans="2:19" hidden="1">
      <c r="B268" s="468">
        <v>256</v>
      </c>
      <c r="C268" s="497"/>
      <c r="D268" s="498"/>
      <c r="E268" s="499"/>
      <c r="F268" s="500"/>
      <c r="G268" s="35"/>
      <c r="H268" s="511">
        <f>IF(Consolidado_A!$G$133=7.6%,-(0.0165+0.076)*F268,0)</f>
        <v>0</v>
      </c>
      <c r="I268" s="35"/>
      <c r="J268" s="505"/>
      <c r="K268" s="506"/>
      <c r="L268" s="453"/>
      <c r="M268" s="513">
        <f t="shared" si="12"/>
        <v>0</v>
      </c>
      <c r="N268" s="512"/>
      <c r="O268" s="513">
        <f t="shared" si="13"/>
        <v>0</v>
      </c>
      <c r="Q268" s="509">
        <f t="shared" si="15"/>
        <v>2.5000000000000001E-3</v>
      </c>
      <c r="S268" s="513">
        <f t="shared" si="14"/>
        <v>0</v>
      </c>
    </row>
    <row r="269" spans="2:19" hidden="1">
      <c r="B269" s="468">
        <v>257</v>
      </c>
      <c r="C269" s="497"/>
      <c r="D269" s="498"/>
      <c r="E269" s="499"/>
      <c r="F269" s="500"/>
      <c r="G269" s="35"/>
      <c r="H269" s="511">
        <f>IF(Consolidado_A!$G$133=7.6%,-(0.0165+0.076)*F269,0)</f>
        <v>0</v>
      </c>
      <c r="I269" s="35"/>
      <c r="J269" s="505"/>
      <c r="K269" s="506"/>
      <c r="L269" s="453"/>
      <c r="M269" s="513">
        <f t="shared" ref="M269:M332" si="16">IF(E269&gt;0,(F269+H269)-J269,0)</f>
        <v>0</v>
      </c>
      <c r="N269" s="512"/>
      <c r="O269" s="513">
        <f t="shared" ref="O269:O332" si="17">IF(E269=0,0,(M269/K269)*E269)</f>
        <v>0</v>
      </c>
      <c r="Q269" s="509">
        <f t="shared" si="15"/>
        <v>2.5000000000000001E-3</v>
      </c>
      <c r="S269" s="513">
        <f t="shared" ref="S269:S332" si="18">E269*(M269*Q269)</f>
        <v>0</v>
      </c>
    </row>
    <row r="270" spans="2:19" hidden="1">
      <c r="B270" s="468">
        <v>258</v>
      </c>
      <c r="C270" s="497"/>
      <c r="D270" s="498"/>
      <c r="E270" s="499"/>
      <c r="F270" s="500"/>
      <c r="G270" s="35"/>
      <c r="H270" s="511">
        <f>IF(Consolidado_A!$G$133=7.6%,-(0.0165+0.076)*F270,0)</f>
        <v>0</v>
      </c>
      <c r="I270" s="35"/>
      <c r="J270" s="505"/>
      <c r="K270" s="506"/>
      <c r="L270" s="453"/>
      <c r="M270" s="513">
        <f t="shared" si="16"/>
        <v>0</v>
      </c>
      <c r="N270" s="512"/>
      <c r="O270" s="513">
        <f t="shared" si="17"/>
        <v>0</v>
      </c>
      <c r="Q270" s="509">
        <f t="shared" ref="Q270:Q333" si="19">Q269</f>
        <v>2.5000000000000001E-3</v>
      </c>
      <c r="S270" s="513">
        <f t="shared" si="18"/>
        <v>0</v>
      </c>
    </row>
    <row r="271" spans="2:19" hidden="1">
      <c r="B271" s="468">
        <v>259</v>
      </c>
      <c r="C271" s="497"/>
      <c r="D271" s="498"/>
      <c r="E271" s="499"/>
      <c r="F271" s="500"/>
      <c r="G271" s="35"/>
      <c r="H271" s="511">
        <f>IF(Consolidado_A!$G$133=7.6%,-(0.0165+0.076)*F271,0)</f>
        <v>0</v>
      </c>
      <c r="I271" s="35"/>
      <c r="J271" s="505"/>
      <c r="K271" s="506"/>
      <c r="L271" s="453"/>
      <c r="M271" s="513">
        <f t="shared" si="16"/>
        <v>0</v>
      </c>
      <c r="N271" s="512"/>
      <c r="O271" s="513">
        <f t="shared" si="17"/>
        <v>0</v>
      </c>
      <c r="Q271" s="509">
        <f t="shared" si="19"/>
        <v>2.5000000000000001E-3</v>
      </c>
      <c r="S271" s="513">
        <f t="shared" si="18"/>
        <v>0</v>
      </c>
    </row>
    <row r="272" spans="2:19" hidden="1">
      <c r="B272" s="468">
        <v>260</v>
      </c>
      <c r="C272" s="497"/>
      <c r="D272" s="498"/>
      <c r="E272" s="499"/>
      <c r="F272" s="500"/>
      <c r="G272" s="35"/>
      <c r="H272" s="511">
        <f>IF(Consolidado_A!$G$133=7.6%,-(0.0165+0.076)*F272,0)</f>
        <v>0</v>
      </c>
      <c r="I272" s="35"/>
      <c r="J272" s="505"/>
      <c r="K272" s="506"/>
      <c r="L272" s="453"/>
      <c r="M272" s="513">
        <f t="shared" si="16"/>
        <v>0</v>
      </c>
      <c r="N272" s="512"/>
      <c r="O272" s="513">
        <f t="shared" si="17"/>
        <v>0</v>
      </c>
      <c r="Q272" s="509">
        <f t="shared" si="19"/>
        <v>2.5000000000000001E-3</v>
      </c>
      <c r="S272" s="513">
        <f t="shared" si="18"/>
        <v>0</v>
      </c>
    </row>
    <row r="273" spans="2:19" hidden="1">
      <c r="B273" s="468">
        <v>261</v>
      </c>
      <c r="C273" s="497"/>
      <c r="D273" s="498"/>
      <c r="E273" s="499"/>
      <c r="F273" s="500"/>
      <c r="G273" s="35"/>
      <c r="H273" s="511">
        <f>IF(Consolidado_A!$G$133=7.6%,-(0.0165+0.076)*F273,0)</f>
        <v>0</v>
      </c>
      <c r="I273" s="35"/>
      <c r="J273" s="505"/>
      <c r="K273" s="506"/>
      <c r="L273" s="453"/>
      <c r="M273" s="513">
        <f t="shared" si="16"/>
        <v>0</v>
      </c>
      <c r="N273" s="512"/>
      <c r="O273" s="513">
        <f t="shared" si="17"/>
        <v>0</v>
      </c>
      <c r="Q273" s="509">
        <f t="shared" si="19"/>
        <v>2.5000000000000001E-3</v>
      </c>
      <c r="S273" s="513">
        <f t="shared" si="18"/>
        <v>0</v>
      </c>
    </row>
    <row r="274" spans="2:19" hidden="1">
      <c r="B274" s="468">
        <v>262</v>
      </c>
      <c r="C274" s="497"/>
      <c r="D274" s="498"/>
      <c r="E274" s="499"/>
      <c r="F274" s="500"/>
      <c r="G274" s="35"/>
      <c r="H274" s="511">
        <f>IF(Consolidado_A!$G$133=7.6%,-(0.0165+0.076)*F274,0)</f>
        <v>0</v>
      </c>
      <c r="I274" s="35"/>
      <c r="J274" s="505"/>
      <c r="K274" s="506"/>
      <c r="L274" s="453"/>
      <c r="M274" s="513">
        <f t="shared" si="16"/>
        <v>0</v>
      </c>
      <c r="N274" s="512"/>
      <c r="O274" s="513">
        <f t="shared" si="17"/>
        <v>0</v>
      </c>
      <c r="P274" s="453"/>
      <c r="Q274" s="509">
        <f t="shared" si="19"/>
        <v>2.5000000000000001E-3</v>
      </c>
      <c r="R274" s="453"/>
      <c r="S274" s="513">
        <f t="shared" si="18"/>
        <v>0</v>
      </c>
    </row>
    <row r="275" spans="2:19" hidden="1">
      <c r="B275" s="468">
        <v>263</v>
      </c>
      <c r="C275" s="497"/>
      <c r="D275" s="498"/>
      <c r="E275" s="499"/>
      <c r="F275" s="500"/>
      <c r="G275" s="35"/>
      <c r="H275" s="511">
        <f>IF(Consolidado_A!$G$133=7.6%,-(0.0165+0.076)*F275,0)</f>
        <v>0</v>
      </c>
      <c r="I275" s="35"/>
      <c r="J275" s="505"/>
      <c r="K275" s="506"/>
      <c r="L275" s="453"/>
      <c r="M275" s="513">
        <f t="shared" si="16"/>
        <v>0</v>
      </c>
      <c r="N275" s="512"/>
      <c r="O275" s="513">
        <f t="shared" si="17"/>
        <v>0</v>
      </c>
      <c r="P275" s="453"/>
      <c r="Q275" s="509">
        <f t="shared" si="19"/>
        <v>2.5000000000000001E-3</v>
      </c>
      <c r="R275" s="453"/>
      <c r="S275" s="513">
        <f t="shared" si="18"/>
        <v>0</v>
      </c>
    </row>
    <row r="276" spans="2:19" hidden="1">
      <c r="B276" s="468">
        <v>264</v>
      </c>
      <c r="C276" s="497"/>
      <c r="D276" s="498"/>
      <c r="E276" s="499"/>
      <c r="F276" s="500"/>
      <c r="G276" s="35"/>
      <c r="H276" s="511">
        <f>IF(Consolidado_A!$G$133=7.6%,-(0.0165+0.076)*F276,0)</f>
        <v>0</v>
      </c>
      <c r="I276" s="35"/>
      <c r="J276" s="505"/>
      <c r="K276" s="506"/>
      <c r="L276" s="453"/>
      <c r="M276" s="513">
        <f t="shared" si="16"/>
        <v>0</v>
      </c>
      <c r="N276" s="512"/>
      <c r="O276" s="513">
        <f t="shared" si="17"/>
        <v>0</v>
      </c>
      <c r="P276" s="453"/>
      <c r="Q276" s="509">
        <f t="shared" si="19"/>
        <v>2.5000000000000001E-3</v>
      </c>
      <c r="R276" s="453"/>
      <c r="S276" s="513">
        <f t="shared" si="18"/>
        <v>0</v>
      </c>
    </row>
    <row r="277" spans="2:19" hidden="1">
      <c r="B277" s="468">
        <v>265</v>
      </c>
      <c r="C277" s="497"/>
      <c r="D277" s="498"/>
      <c r="E277" s="499"/>
      <c r="F277" s="500"/>
      <c r="G277" s="35"/>
      <c r="H277" s="511">
        <f>IF(Consolidado_A!$G$133=7.6%,-(0.0165+0.076)*F277,0)</f>
        <v>0</v>
      </c>
      <c r="I277" s="35"/>
      <c r="J277" s="505"/>
      <c r="K277" s="506"/>
      <c r="L277" s="453"/>
      <c r="M277" s="513">
        <f t="shared" si="16"/>
        <v>0</v>
      </c>
      <c r="N277" s="512"/>
      <c r="O277" s="513">
        <f t="shared" si="17"/>
        <v>0</v>
      </c>
      <c r="P277" s="453"/>
      <c r="Q277" s="509">
        <f t="shared" si="19"/>
        <v>2.5000000000000001E-3</v>
      </c>
      <c r="R277" s="453"/>
      <c r="S277" s="513">
        <f t="shared" si="18"/>
        <v>0</v>
      </c>
    </row>
    <row r="278" spans="2:19" hidden="1">
      <c r="B278" s="468">
        <v>266</v>
      </c>
      <c r="C278" s="497"/>
      <c r="D278" s="498"/>
      <c r="E278" s="499"/>
      <c r="F278" s="500"/>
      <c r="G278" s="35"/>
      <c r="H278" s="511">
        <f>IF(Consolidado_A!$G$133=7.6%,-(0.0165+0.076)*F278,0)</f>
        <v>0</v>
      </c>
      <c r="I278" s="35"/>
      <c r="J278" s="505"/>
      <c r="K278" s="506"/>
      <c r="L278" s="453"/>
      <c r="M278" s="513">
        <f t="shared" si="16"/>
        <v>0</v>
      </c>
      <c r="N278" s="512"/>
      <c r="O278" s="513">
        <f t="shared" si="17"/>
        <v>0</v>
      </c>
      <c r="P278" s="453"/>
      <c r="Q278" s="509">
        <f t="shared" si="19"/>
        <v>2.5000000000000001E-3</v>
      </c>
      <c r="R278" s="453"/>
      <c r="S278" s="513">
        <f t="shared" si="18"/>
        <v>0</v>
      </c>
    </row>
    <row r="279" spans="2:19" hidden="1">
      <c r="B279" s="468">
        <v>267</v>
      </c>
      <c r="C279" s="497"/>
      <c r="D279" s="498"/>
      <c r="E279" s="499"/>
      <c r="F279" s="500"/>
      <c r="G279" s="35"/>
      <c r="H279" s="511">
        <f>IF(Consolidado_A!$G$133=7.6%,-(0.0165+0.076)*F279,0)</f>
        <v>0</v>
      </c>
      <c r="I279" s="35"/>
      <c r="J279" s="505"/>
      <c r="K279" s="506"/>
      <c r="L279" s="453"/>
      <c r="M279" s="513">
        <f t="shared" si="16"/>
        <v>0</v>
      </c>
      <c r="N279" s="512"/>
      <c r="O279" s="513">
        <f t="shared" si="17"/>
        <v>0</v>
      </c>
      <c r="P279" s="453"/>
      <c r="Q279" s="509">
        <f t="shared" si="19"/>
        <v>2.5000000000000001E-3</v>
      </c>
      <c r="R279" s="453"/>
      <c r="S279" s="513">
        <f t="shared" si="18"/>
        <v>0</v>
      </c>
    </row>
    <row r="280" spans="2:19" hidden="1">
      <c r="B280" s="468">
        <v>268</v>
      </c>
      <c r="C280" s="497"/>
      <c r="D280" s="498"/>
      <c r="E280" s="499"/>
      <c r="F280" s="500"/>
      <c r="G280" s="35"/>
      <c r="H280" s="511">
        <f>IF(Consolidado_A!$G$133=7.6%,-(0.0165+0.076)*F280,0)</f>
        <v>0</v>
      </c>
      <c r="I280" s="35"/>
      <c r="J280" s="505"/>
      <c r="K280" s="506"/>
      <c r="L280" s="453"/>
      <c r="M280" s="513">
        <f t="shared" si="16"/>
        <v>0</v>
      </c>
      <c r="N280" s="512"/>
      <c r="O280" s="513">
        <f t="shared" si="17"/>
        <v>0</v>
      </c>
      <c r="P280" s="453"/>
      <c r="Q280" s="509">
        <f t="shared" si="19"/>
        <v>2.5000000000000001E-3</v>
      </c>
      <c r="R280" s="453"/>
      <c r="S280" s="513">
        <f t="shared" si="18"/>
        <v>0</v>
      </c>
    </row>
    <row r="281" spans="2:19" hidden="1">
      <c r="B281" s="468">
        <v>269</v>
      </c>
      <c r="C281" s="497"/>
      <c r="D281" s="498"/>
      <c r="E281" s="499"/>
      <c r="F281" s="500"/>
      <c r="G281" s="35"/>
      <c r="H281" s="511">
        <f>IF(Consolidado_A!$G$133=7.6%,-(0.0165+0.076)*F281,0)</f>
        <v>0</v>
      </c>
      <c r="I281" s="35"/>
      <c r="J281" s="505"/>
      <c r="K281" s="506"/>
      <c r="L281" s="453"/>
      <c r="M281" s="513">
        <f t="shared" si="16"/>
        <v>0</v>
      </c>
      <c r="N281" s="512"/>
      <c r="O281" s="513">
        <f t="shared" si="17"/>
        <v>0</v>
      </c>
      <c r="P281" s="453"/>
      <c r="Q281" s="509">
        <f t="shared" si="19"/>
        <v>2.5000000000000001E-3</v>
      </c>
      <c r="R281" s="453"/>
      <c r="S281" s="513">
        <f t="shared" si="18"/>
        <v>0</v>
      </c>
    </row>
    <row r="282" spans="2:19" hidden="1">
      <c r="B282" s="468">
        <v>270</v>
      </c>
      <c r="C282" s="497"/>
      <c r="D282" s="498"/>
      <c r="E282" s="499"/>
      <c r="F282" s="500"/>
      <c r="G282" s="35"/>
      <c r="H282" s="511">
        <f>IF(Consolidado_A!$G$133=7.6%,-(0.0165+0.076)*F282,0)</f>
        <v>0</v>
      </c>
      <c r="I282" s="35"/>
      <c r="J282" s="505"/>
      <c r="K282" s="506"/>
      <c r="L282" s="453"/>
      <c r="M282" s="513">
        <f t="shared" si="16"/>
        <v>0</v>
      </c>
      <c r="N282" s="512"/>
      <c r="O282" s="513">
        <f t="shared" si="17"/>
        <v>0</v>
      </c>
      <c r="P282" s="453"/>
      <c r="Q282" s="509">
        <f t="shared" si="19"/>
        <v>2.5000000000000001E-3</v>
      </c>
      <c r="R282" s="453"/>
      <c r="S282" s="513">
        <f t="shared" si="18"/>
        <v>0</v>
      </c>
    </row>
    <row r="283" spans="2:19" hidden="1">
      <c r="B283" s="468">
        <v>271</v>
      </c>
      <c r="C283" s="497"/>
      <c r="D283" s="498"/>
      <c r="E283" s="499"/>
      <c r="F283" s="500"/>
      <c r="G283" s="35"/>
      <c r="H283" s="511">
        <f>IF(Consolidado_A!$G$133=7.6%,-(0.0165+0.076)*F283,0)</f>
        <v>0</v>
      </c>
      <c r="I283" s="35"/>
      <c r="J283" s="505"/>
      <c r="K283" s="506"/>
      <c r="L283" s="453"/>
      <c r="M283" s="513">
        <f t="shared" si="16"/>
        <v>0</v>
      </c>
      <c r="N283" s="512"/>
      <c r="O283" s="513">
        <f t="shared" si="17"/>
        <v>0</v>
      </c>
      <c r="P283" s="453"/>
      <c r="Q283" s="509">
        <f t="shared" si="19"/>
        <v>2.5000000000000001E-3</v>
      </c>
      <c r="R283" s="453"/>
      <c r="S283" s="513">
        <f t="shared" si="18"/>
        <v>0</v>
      </c>
    </row>
    <row r="284" spans="2:19" hidden="1">
      <c r="B284" s="468">
        <v>272</v>
      </c>
      <c r="C284" s="497"/>
      <c r="D284" s="498"/>
      <c r="E284" s="499"/>
      <c r="F284" s="500"/>
      <c r="G284" s="35"/>
      <c r="H284" s="511">
        <f>IF(Consolidado_A!$G$133=7.6%,-(0.0165+0.076)*F284,0)</f>
        <v>0</v>
      </c>
      <c r="I284" s="35"/>
      <c r="J284" s="505"/>
      <c r="K284" s="506"/>
      <c r="L284" s="453"/>
      <c r="M284" s="513">
        <f t="shared" si="16"/>
        <v>0</v>
      </c>
      <c r="N284" s="512"/>
      <c r="O284" s="513">
        <f t="shared" si="17"/>
        <v>0</v>
      </c>
      <c r="P284" s="453"/>
      <c r="Q284" s="509">
        <f t="shared" si="19"/>
        <v>2.5000000000000001E-3</v>
      </c>
      <c r="R284" s="453"/>
      <c r="S284" s="513">
        <f t="shared" si="18"/>
        <v>0</v>
      </c>
    </row>
    <row r="285" spans="2:19" hidden="1">
      <c r="B285" s="468">
        <v>273</v>
      </c>
      <c r="C285" s="497"/>
      <c r="D285" s="498"/>
      <c r="E285" s="499"/>
      <c r="F285" s="500"/>
      <c r="G285" s="35"/>
      <c r="H285" s="511">
        <f>IF(Consolidado_A!$G$133=7.6%,-(0.0165+0.076)*F285,0)</f>
        <v>0</v>
      </c>
      <c r="I285" s="35"/>
      <c r="J285" s="505"/>
      <c r="K285" s="506"/>
      <c r="L285" s="453"/>
      <c r="M285" s="513">
        <f t="shared" si="16"/>
        <v>0</v>
      </c>
      <c r="N285" s="512"/>
      <c r="O285" s="513">
        <f t="shared" si="17"/>
        <v>0</v>
      </c>
      <c r="Q285" s="509">
        <f t="shared" si="19"/>
        <v>2.5000000000000001E-3</v>
      </c>
      <c r="S285" s="513">
        <f t="shared" si="18"/>
        <v>0</v>
      </c>
    </row>
    <row r="286" spans="2:19" hidden="1">
      <c r="B286" s="468">
        <v>274</v>
      </c>
      <c r="C286" s="497"/>
      <c r="D286" s="498"/>
      <c r="E286" s="499"/>
      <c r="F286" s="500"/>
      <c r="G286" s="35"/>
      <c r="H286" s="511">
        <f>IF(Consolidado_A!$G$133=7.6%,-(0.0165+0.076)*F286,0)</f>
        <v>0</v>
      </c>
      <c r="I286" s="35"/>
      <c r="J286" s="505"/>
      <c r="K286" s="506"/>
      <c r="L286" s="453"/>
      <c r="M286" s="513">
        <f t="shared" si="16"/>
        <v>0</v>
      </c>
      <c r="N286" s="512"/>
      <c r="O286" s="513">
        <f t="shared" si="17"/>
        <v>0</v>
      </c>
      <c r="Q286" s="509">
        <f t="shared" si="19"/>
        <v>2.5000000000000001E-3</v>
      </c>
      <c r="S286" s="513">
        <f t="shared" si="18"/>
        <v>0</v>
      </c>
    </row>
    <row r="287" spans="2:19" hidden="1">
      <c r="B287" s="468">
        <v>275</v>
      </c>
      <c r="C287" s="497"/>
      <c r="D287" s="498"/>
      <c r="E287" s="499"/>
      <c r="F287" s="500"/>
      <c r="G287" s="35"/>
      <c r="H287" s="511">
        <f>IF(Consolidado_A!$G$133=7.6%,-(0.0165+0.076)*F287,0)</f>
        <v>0</v>
      </c>
      <c r="I287" s="35"/>
      <c r="J287" s="505"/>
      <c r="K287" s="506"/>
      <c r="L287" s="453"/>
      <c r="M287" s="513">
        <f t="shared" si="16"/>
        <v>0</v>
      </c>
      <c r="N287" s="512"/>
      <c r="O287" s="513">
        <f t="shared" si="17"/>
        <v>0</v>
      </c>
      <c r="Q287" s="509">
        <f t="shared" si="19"/>
        <v>2.5000000000000001E-3</v>
      </c>
      <c r="S287" s="513">
        <f t="shared" si="18"/>
        <v>0</v>
      </c>
    </row>
    <row r="288" spans="2:19" hidden="1">
      <c r="B288" s="468">
        <v>276</v>
      </c>
      <c r="C288" s="497"/>
      <c r="D288" s="498"/>
      <c r="E288" s="499"/>
      <c r="F288" s="500"/>
      <c r="G288" s="35"/>
      <c r="H288" s="511">
        <f>IF(Consolidado_A!$G$133=7.6%,-(0.0165+0.076)*F288,0)</f>
        <v>0</v>
      </c>
      <c r="I288" s="35"/>
      <c r="J288" s="505"/>
      <c r="K288" s="506"/>
      <c r="L288" s="453"/>
      <c r="M288" s="513">
        <f t="shared" si="16"/>
        <v>0</v>
      </c>
      <c r="N288" s="512"/>
      <c r="O288" s="513">
        <f t="shared" si="17"/>
        <v>0</v>
      </c>
      <c r="Q288" s="509">
        <f t="shared" si="19"/>
        <v>2.5000000000000001E-3</v>
      </c>
      <c r="S288" s="513">
        <f t="shared" si="18"/>
        <v>0</v>
      </c>
    </row>
    <row r="289" spans="2:19" hidden="1">
      <c r="B289" s="468">
        <v>277</v>
      </c>
      <c r="C289" s="497"/>
      <c r="D289" s="498"/>
      <c r="E289" s="499"/>
      <c r="F289" s="500"/>
      <c r="G289" s="35"/>
      <c r="H289" s="511">
        <f>IF(Consolidado_A!$G$133=7.6%,-(0.0165+0.076)*F289,0)</f>
        <v>0</v>
      </c>
      <c r="I289" s="35"/>
      <c r="J289" s="505"/>
      <c r="K289" s="506"/>
      <c r="L289" s="453"/>
      <c r="M289" s="513">
        <f t="shared" si="16"/>
        <v>0</v>
      </c>
      <c r="N289" s="512"/>
      <c r="O289" s="513">
        <f t="shared" si="17"/>
        <v>0</v>
      </c>
      <c r="Q289" s="509">
        <f t="shared" si="19"/>
        <v>2.5000000000000001E-3</v>
      </c>
      <c r="S289" s="513">
        <f t="shared" si="18"/>
        <v>0</v>
      </c>
    </row>
    <row r="290" spans="2:19" hidden="1">
      <c r="B290" s="468">
        <v>278</v>
      </c>
      <c r="C290" s="497"/>
      <c r="D290" s="498"/>
      <c r="E290" s="499"/>
      <c r="F290" s="500"/>
      <c r="G290" s="35"/>
      <c r="H290" s="511">
        <f>IF(Consolidado_A!$G$133=7.6%,-(0.0165+0.076)*F290,0)</f>
        <v>0</v>
      </c>
      <c r="I290" s="35"/>
      <c r="J290" s="505"/>
      <c r="K290" s="506"/>
      <c r="L290" s="453"/>
      <c r="M290" s="513">
        <f t="shared" si="16"/>
        <v>0</v>
      </c>
      <c r="N290" s="512"/>
      <c r="O290" s="513">
        <f t="shared" si="17"/>
        <v>0</v>
      </c>
      <c r="Q290" s="509">
        <f t="shared" si="19"/>
        <v>2.5000000000000001E-3</v>
      </c>
      <c r="S290" s="513">
        <f t="shared" si="18"/>
        <v>0</v>
      </c>
    </row>
    <row r="291" spans="2:19" hidden="1">
      <c r="B291" s="468">
        <v>279</v>
      </c>
      <c r="C291" s="497"/>
      <c r="D291" s="498"/>
      <c r="E291" s="499"/>
      <c r="F291" s="500"/>
      <c r="G291" s="35"/>
      <c r="H291" s="511">
        <f>IF(Consolidado_A!$G$133=7.6%,-(0.0165+0.076)*F291,0)</f>
        <v>0</v>
      </c>
      <c r="I291" s="35"/>
      <c r="J291" s="505"/>
      <c r="K291" s="506"/>
      <c r="L291" s="453"/>
      <c r="M291" s="513">
        <f t="shared" si="16"/>
        <v>0</v>
      </c>
      <c r="N291" s="512"/>
      <c r="O291" s="513">
        <f t="shared" si="17"/>
        <v>0</v>
      </c>
      <c r="Q291" s="509">
        <f t="shared" si="19"/>
        <v>2.5000000000000001E-3</v>
      </c>
      <c r="S291" s="513">
        <f t="shared" si="18"/>
        <v>0</v>
      </c>
    </row>
    <row r="292" spans="2:19" hidden="1">
      <c r="B292" s="468">
        <v>280</v>
      </c>
      <c r="C292" s="497"/>
      <c r="D292" s="498"/>
      <c r="E292" s="499"/>
      <c r="F292" s="500"/>
      <c r="G292" s="35"/>
      <c r="H292" s="511">
        <f>IF(Consolidado_A!$G$133=7.6%,-(0.0165+0.076)*F292,0)</f>
        <v>0</v>
      </c>
      <c r="I292" s="35"/>
      <c r="J292" s="505"/>
      <c r="K292" s="506"/>
      <c r="L292" s="453"/>
      <c r="M292" s="513">
        <f t="shared" si="16"/>
        <v>0</v>
      </c>
      <c r="N292" s="512"/>
      <c r="O292" s="513">
        <f t="shared" si="17"/>
        <v>0</v>
      </c>
      <c r="Q292" s="509">
        <f t="shared" si="19"/>
        <v>2.5000000000000001E-3</v>
      </c>
      <c r="S292" s="513">
        <f t="shared" si="18"/>
        <v>0</v>
      </c>
    </row>
    <row r="293" spans="2:19" hidden="1">
      <c r="B293" s="468">
        <v>281</v>
      </c>
      <c r="C293" s="497"/>
      <c r="D293" s="498"/>
      <c r="E293" s="499"/>
      <c r="F293" s="500"/>
      <c r="G293" s="35"/>
      <c r="H293" s="511">
        <f>IF(Consolidado_A!$G$133=7.6%,-(0.0165+0.076)*F293,0)</f>
        <v>0</v>
      </c>
      <c r="I293" s="35"/>
      <c r="J293" s="505"/>
      <c r="K293" s="506"/>
      <c r="L293" s="453"/>
      <c r="M293" s="513">
        <f t="shared" si="16"/>
        <v>0</v>
      </c>
      <c r="N293" s="512"/>
      <c r="O293" s="513">
        <f t="shared" si="17"/>
        <v>0</v>
      </c>
      <c r="Q293" s="509">
        <f t="shared" si="19"/>
        <v>2.5000000000000001E-3</v>
      </c>
      <c r="S293" s="513">
        <f t="shared" si="18"/>
        <v>0</v>
      </c>
    </row>
    <row r="294" spans="2:19" hidden="1">
      <c r="B294" s="468">
        <v>282</v>
      </c>
      <c r="C294" s="497"/>
      <c r="D294" s="498"/>
      <c r="E294" s="499"/>
      <c r="F294" s="500"/>
      <c r="G294" s="35"/>
      <c r="H294" s="511">
        <f>IF(Consolidado_A!$G$133=7.6%,-(0.0165+0.076)*F294,0)</f>
        <v>0</v>
      </c>
      <c r="I294" s="35"/>
      <c r="J294" s="505"/>
      <c r="K294" s="506"/>
      <c r="L294" s="453"/>
      <c r="M294" s="513">
        <f t="shared" si="16"/>
        <v>0</v>
      </c>
      <c r="N294" s="512"/>
      <c r="O294" s="513">
        <f t="shared" si="17"/>
        <v>0</v>
      </c>
      <c r="Q294" s="509">
        <f t="shared" si="19"/>
        <v>2.5000000000000001E-3</v>
      </c>
      <c r="S294" s="513">
        <f t="shared" si="18"/>
        <v>0</v>
      </c>
    </row>
    <row r="295" spans="2:19" hidden="1">
      <c r="B295" s="468">
        <v>283</v>
      </c>
      <c r="C295" s="497"/>
      <c r="D295" s="498"/>
      <c r="E295" s="499"/>
      <c r="F295" s="500"/>
      <c r="G295" s="35"/>
      <c r="H295" s="511">
        <f>IF(Consolidado_A!$G$133=7.6%,-(0.0165+0.076)*F295,0)</f>
        <v>0</v>
      </c>
      <c r="I295" s="35"/>
      <c r="J295" s="505"/>
      <c r="K295" s="506"/>
      <c r="L295" s="453"/>
      <c r="M295" s="513">
        <f t="shared" si="16"/>
        <v>0</v>
      </c>
      <c r="N295" s="512"/>
      <c r="O295" s="513">
        <f t="shared" si="17"/>
        <v>0</v>
      </c>
      <c r="Q295" s="509">
        <f t="shared" si="19"/>
        <v>2.5000000000000001E-3</v>
      </c>
      <c r="S295" s="513">
        <f t="shared" si="18"/>
        <v>0</v>
      </c>
    </row>
    <row r="296" spans="2:19" hidden="1">
      <c r="B296" s="468">
        <v>284</v>
      </c>
      <c r="C296" s="497"/>
      <c r="D296" s="498"/>
      <c r="E296" s="499"/>
      <c r="F296" s="500"/>
      <c r="G296" s="35"/>
      <c r="H296" s="511">
        <f>IF(Consolidado_A!$G$133=7.6%,-(0.0165+0.076)*F296,0)</f>
        <v>0</v>
      </c>
      <c r="I296" s="35"/>
      <c r="J296" s="505"/>
      <c r="K296" s="506"/>
      <c r="L296" s="453"/>
      <c r="M296" s="513">
        <f t="shared" si="16"/>
        <v>0</v>
      </c>
      <c r="N296" s="512"/>
      <c r="O296" s="513">
        <f t="shared" si="17"/>
        <v>0</v>
      </c>
      <c r="Q296" s="509">
        <f t="shared" si="19"/>
        <v>2.5000000000000001E-3</v>
      </c>
      <c r="S296" s="513">
        <f t="shared" si="18"/>
        <v>0</v>
      </c>
    </row>
    <row r="297" spans="2:19" hidden="1">
      <c r="B297" s="468">
        <v>285</v>
      </c>
      <c r="C297" s="497"/>
      <c r="D297" s="498"/>
      <c r="E297" s="499"/>
      <c r="F297" s="500"/>
      <c r="G297" s="35"/>
      <c r="H297" s="511">
        <f>IF(Consolidado_A!$G$133=7.6%,-(0.0165+0.076)*F297,0)</f>
        <v>0</v>
      </c>
      <c r="I297" s="35"/>
      <c r="J297" s="505"/>
      <c r="K297" s="506"/>
      <c r="L297" s="453"/>
      <c r="M297" s="513">
        <f t="shared" si="16"/>
        <v>0</v>
      </c>
      <c r="N297" s="512"/>
      <c r="O297" s="513">
        <f t="shared" si="17"/>
        <v>0</v>
      </c>
      <c r="Q297" s="509">
        <f t="shared" si="19"/>
        <v>2.5000000000000001E-3</v>
      </c>
      <c r="S297" s="513">
        <f t="shared" si="18"/>
        <v>0</v>
      </c>
    </row>
    <row r="298" spans="2:19" hidden="1">
      <c r="B298" s="468">
        <v>286</v>
      </c>
      <c r="C298" s="497"/>
      <c r="D298" s="498"/>
      <c r="E298" s="499"/>
      <c r="F298" s="500"/>
      <c r="G298" s="35"/>
      <c r="H298" s="511">
        <f>IF(Consolidado_A!$G$133=7.6%,-(0.0165+0.076)*F298,0)</f>
        <v>0</v>
      </c>
      <c r="I298" s="35"/>
      <c r="J298" s="505"/>
      <c r="K298" s="506"/>
      <c r="L298" s="453"/>
      <c r="M298" s="513">
        <f t="shared" si="16"/>
        <v>0</v>
      </c>
      <c r="N298" s="512"/>
      <c r="O298" s="513">
        <f t="shared" si="17"/>
        <v>0</v>
      </c>
      <c r="Q298" s="509">
        <f t="shared" si="19"/>
        <v>2.5000000000000001E-3</v>
      </c>
      <c r="S298" s="513">
        <f t="shared" si="18"/>
        <v>0</v>
      </c>
    </row>
    <row r="299" spans="2:19" hidden="1">
      <c r="B299" s="468">
        <v>287</v>
      </c>
      <c r="C299" s="497"/>
      <c r="D299" s="498"/>
      <c r="E299" s="499"/>
      <c r="F299" s="500"/>
      <c r="G299" s="35"/>
      <c r="H299" s="511">
        <f>IF(Consolidado_A!$G$133=7.6%,-(0.0165+0.076)*F299,0)</f>
        <v>0</v>
      </c>
      <c r="I299" s="35"/>
      <c r="J299" s="505"/>
      <c r="K299" s="506"/>
      <c r="L299" s="453"/>
      <c r="M299" s="513">
        <f t="shared" si="16"/>
        <v>0</v>
      </c>
      <c r="N299" s="512"/>
      <c r="O299" s="513">
        <f t="shared" si="17"/>
        <v>0</v>
      </c>
      <c r="Q299" s="509">
        <f t="shared" si="19"/>
        <v>2.5000000000000001E-3</v>
      </c>
      <c r="S299" s="513">
        <f t="shared" si="18"/>
        <v>0</v>
      </c>
    </row>
    <row r="300" spans="2:19" hidden="1">
      <c r="B300" s="468">
        <v>288</v>
      </c>
      <c r="C300" s="497"/>
      <c r="D300" s="498"/>
      <c r="E300" s="499"/>
      <c r="F300" s="500"/>
      <c r="G300" s="35"/>
      <c r="H300" s="511">
        <f>IF(Consolidado_A!$G$133=7.6%,-(0.0165+0.076)*F300,0)</f>
        <v>0</v>
      </c>
      <c r="I300" s="35"/>
      <c r="J300" s="505"/>
      <c r="K300" s="506"/>
      <c r="L300" s="453"/>
      <c r="M300" s="513">
        <f t="shared" si="16"/>
        <v>0</v>
      </c>
      <c r="N300" s="512"/>
      <c r="O300" s="513">
        <f t="shared" si="17"/>
        <v>0</v>
      </c>
      <c r="Q300" s="509">
        <f t="shared" si="19"/>
        <v>2.5000000000000001E-3</v>
      </c>
      <c r="S300" s="513">
        <f t="shared" si="18"/>
        <v>0</v>
      </c>
    </row>
    <row r="301" spans="2:19" hidden="1">
      <c r="B301" s="468">
        <v>289</v>
      </c>
      <c r="C301" s="497"/>
      <c r="D301" s="498"/>
      <c r="E301" s="499"/>
      <c r="F301" s="500"/>
      <c r="G301" s="35"/>
      <c r="H301" s="511">
        <f>IF(Consolidado_A!$G$133=7.6%,-(0.0165+0.076)*F301,0)</f>
        <v>0</v>
      </c>
      <c r="I301" s="35"/>
      <c r="J301" s="505"/>
      <c r="K301" s="506"/>
      <c r="L301" s="453"/>
      <c r="M301" s="513">
        <f t="shared" si="16"/>
        <v>0</v>
      </c>
      <c r="N301" s="512"/>
      <c r="O301" s="513">
        <f t="shared" si="17"/>
        <v>0</v>
      </c>
      <c r="Q301" s="509">
        <f t="shared" si="19"/>
        <v>2.5000000000000001E-3</v>
      </c>
      <c r="S301" s="513">
        <f t="shared" si="18"/>
        <v>0</v>
      </c>
    </row>
    <row r="302" spans="2:19" hidden="1">
      <c r="B302" s="468">
        <v>290</v>
      </c>
      <c r="C302" s="497"/>
      <c r="D302" s="498"/>
      <c r="E302" s="499"/>
      <c r="F302" s="500"/>
      <c r="G302" s="35"/>
      <c r="H302" s="511">
        <f>IF(Consolidado_A!$G$133=7.6%,-(0.0165+0.076)*F302,0)</f>
        <v>0</v>
      </c>
      <c r="I302" s="35"/>
      <c r="J302" s="505"/>
      <c r="K302" s="506"/>
      <c r="L302" s="453"/>
      <c r="M302" s="513">
        <f t="shared" si="16"/>
        <v>0</v>
      </c>
      <c r="N302" s="512"/>
      <c r="O302" s="513">
        <f t="shared" si="17"/>
        <v>0</v>
      </c>
      <c r="Q302" s="509">
        <f t="shared" si="19"/>
        <v>2.5000000000000001E-3</v>
      </c>
      <c r="S302" s="513">
        <f t="shared" si="18"/>
        <v>0</v>
      </c>
    </row>
    <row r="303" spans="2:19" hidden="1">
      <c r="B303" s="468">
        <v>291</v>
      </c>
      <c r="C303" s="497"/>
      <c r="D303" s="498"/>
      <c r="E303" s="499"/>
      <c r="F303" s="500"/>
      <c r="G303" s="35"/>
      <c r="H303" s="511">
        <f>IF(Consolidado_A!$G$133=7.6%,-(0.0165+0.076)*F303,0)</f>
        <v>0</v>
      </c>
      <c r="I303" s="35"/>
      <c r="J303" s="505"/>
      <c r="K303" s="506"/>
      <c r="L303" s="453"/>
      <c r="M303" s="513">
        <f t="shared" si="16"/>
        <v>0</v>
      </c>
      <c r="N303" s="512"/>
      <c r="O303" s="513">
        <f t="shared" si="17"/>
        <v>0</v>
      </c>
      <c r="Q303" s="509">
        <f t="shared" si="19"/>
        <v>2.5000000000000001E-3</v>
      </c>
      <c r="S303" s="513">
        <f t="shared" si="18"/>
        <v>0</v>
      </c>
    </row>
    <row r="304" spans="2:19" hidden="1">
      <c r="B304" s="468">
        <v>292</v>
      </c>
      <c r="C304" s="497"/>
      <c r="D304" s="498"/>
      <c r="E304" s="499"/>
      <c r="F304" s="500"/>
      <c r="G304" s="35"/>
      <c r="H304" s="511">
        <f>IF(Consolidado_A!$G$133=7.6%,-(0.0165+0.076)*F304,0)</f>
        <v>0</v>
      </c>
      <c r="I304" s="35"/>
      <c r="J304" s="505"/>
      <c r="K304" s="506"/>
      <c r="L304" s="453"/>
      <c r="M304" s="513">
        <f t="shared" si="16"/>
        <v>0</v>
      </c>
      <c r="N304" s="512"/>
      <c r="O304" s="513">
        <f t="shared" si="17"/>
        <v>0</v>
      </c>
      <c r="Q304" s="509">
        <f t="shared" si="19"/>
        <v>2.5000000000000001E-3</v>
      </c>
      <c r="S304" s="513">
        <f t="shared" si="18"/>
        <v>0</v>
      </c>
    </row>
    <row r="305" spans="2:19" hidden="1">
      <c r="B305" s="468">
        <v>293</v>
      </c>
      <c r="C305" s="497"/>
      <c r="D305" s="498"/>
      <c r="E305" s="499"/>
      <c r="F305" s="500"/>
      <c r="G305" s="35"/>
      <c r="H305" s="511">
        <f>IF(Consolidado_A!$G$133=7.6%,-(0.0165+0.076)*F305,0)</f>
        <v>0</v>
      </c>
      <c r="I305" s="35"/>
      <c r="J305" s="505"/>
      <c r="K305" s="506"/>
      <c r="L305" s="453"/>
      <c r="M305" s="513">
        <f t="shared" si="16"/>
        <v>0</v>
      </c>
      <c r="N305" s="512"/>
      <c r="O305" s="513">
        <f t="shared" si="17"/>
        <v>0</v>
      </c>
      <c r="Q305" s="509">
        <f t="shared" si="19"/>
        <v>2.5000000000000001E-3</v>
      </c>
      <c r="S305" s="513">
        <f t="shared" si="18"/>
        <v>0</v>
      </c>
    </row>
    <row r="306" spans="2:19" hidden="1">
      <c r="B306" s="468">
        <v>294</v>
      </c>
      <c r="C306" s="497"/>
      <c r="D306" s="498"/>
      <c r="E306" s="499"/>
      <c r="F306" s="500"/>
      <c r="G306" s="35"/>
      <c r="H306" s="511">
        <f>IF(Consolidado_A!$G$133=7.6%,-(0.0165+0.076)*F306,0)</f>
        <v>0</v>
      </c>
      <c r="I306" s="35"/>
      <c r="J306" s="505"/>
      <c r="K306" s="506"/>
      <c r="L306" s="453"/>
      <c r="M306" s="513">
        <f t="shared" si="16"/>
        <v>0</v>
      </c>
      <c r="N306" s="512"/>
      <c r="O306" s="513">
        <f t="shared" si="17"/>
        <v>0</v>
      </c>
      <c r="Q306" s="509">
        <f t="shared" si="19"/>
        <v>2.5000000000000001E-3</v>
      </c>
      <c r="S306" s="513">
        <f t="shared" si="18"/>
        <v>0</v>
      </c>
    </row>
    <row r="307" spans="2:19" hidden="1">
      <c r="B307" s="468">
        <v>295</v>
      </c>
      <c r="C307" s="497"/>
      <c r="D307" s="498"/>
      <c r="E307" s="499"/>
      <c r="F307" s="500"/>
      <c r="G307" s="35"/>
      <c r="H307" s="511">
        <f>IF(Consolidado_A!$G$133=7.6%,-(0.0165+0.076)*F307,0)</f>
        <v>0</v>
      </c>
      <c r="I307" s="35"/>
      <c r="J307" s="505"/>
      <c r="K307" s="506"/>
      <c r="L307" s="453"/>
      <c r="M307" s="513">
        <f t="shared" si="16"/>
        <v>0</v>
      </c>
      <c r="N307" s="512"/>
      <c r="O307" s="513">
        <f t="shared" si="17"/>
        <v>0</v>
      </c>
      <c r="Q307" s="509">
        <f t="shared" si="19"/>
        <v>2.5000000000000001E-3</v>
      </c>
      <c r="S307" s="513">
        <f t="shared" si="18"/>
        <v>0</v>
      </c>
    </row>
    <row r="308" spans="2:19" hidden="1">
      <c r="B308" s="468">
        <v>296</v>
      </c>
      <c r="C308" s="497"/>
      <c r="D308" s="498"/>
      <c r="E308" s="499"/>
      <c r="F308" s="500"/>
      <c r="G308" s="35"/>
      <c r="H308" s="511">
        <f>IF(Consolidado_A!$G$133=7.6%,-(0.0165+0.076)*F308,0)</f>
        <v>0</v>
      </c>
      <c r="I308" s="35"/>
      <c r="J308" s="505"/>
      <c r="K308" s="506"/>
      <c r="L308" s="453"/>
      <c r="M308" s="513">
        <f t="shared" si="16"/>
        <v>0</v>
      </c>
      <c r="N308" s="512"/>
      <c r="O308" s="513">
        <f t="shared" si="17"/>
        <v>0</v>
      </c>
      <c r="Q308" s="509">
        <f t="shared" si="19"/>
        <v>2.5000000000000001E-3</v>
      </c>
      <c r="S308" s="513">
        <f t="shared" si="18"/>
        <v>0</v>
      </c>
    </row>
    <row r="309" spans="2:19" hidden="1">
      <c r="B309" s="468">
        <v>297</v>
      </c>
      <c r="C309" s="497"/>
      <c r="D309" s="498"/>
      <c r="E309" s="499"/>
      <c r="F309" s="500"/>
      <c r="G309" s="35"/>
      <c r="H309" s="511">
        <f>IF(Consolidado_A!$G$133=7.6%,-(0.0165+0.076)*F309,0)</f>
        <v>0</v>
      </c>
      <c r="I309" s="35"/>
      <c r="J309" s="505"/>
      <c r="K309" s="506"/>
      <c r="L309" s="453"/>
      <c r="M309" s="513">
        <f t="shared" si="16"/>
        <v>0</v>
      </c>
      <c r="N309" s="512"/>
      <c r="O309" s="513">
        <f t="shared" si="17"/>
        <v>0</v>
      </c>
      <c r="Q309" s="509">
        <f t="shared" si="19"/>
        <v>2.5000000000000001E-3</v>
      </c>
      <c r="S309" s="513">
        <f t="shared" si="18"/>
        <v>0</v>
      </c>
    </row>
    <row r="310" spans="2:19" hidden="1">
      <c r="B310" s="468">
        <v>298</v>
      </c>
      <c r="C310" s="497"/>
      <c r="D310" s="498"/>
      <c r="E310" s="499"/>
      <c r="F310" s="500"/>
      <c r="G310" s="35"/>
      <c r="H310" s="511">
        <f>IF(Consolidado_A!$G$133=7.6%,-(0.0165+0.076)*F310,0)</f>
        <v>0</v>
      </c>
      <c r="I310" s="35"/>
      <c r="J310" s="505"/>
      <c r="K310" s="506"/>
      <c r="L310" s="453"/>
      <c r="M310" s="513">
        <f t="shared" si="16"/>
        <v>0</v>
      </c>
      <c r="N310" s="512"/>
      <c r="O310" s="513">
        <f t="shared" si="17"/>
        <v>0</v>
      </c>
      <c r="P310" s="453"/>
      <c r="Q310" s="509">
        <f t="shared" si="19"/>
        <v>2.5000000000000001E-3</v>
      </c>
      <c r="R310" s="453"/>
      <c r="S310" s="513">
        <f t="shared" si="18"/>
        <v>0</v>
      </c>
    </row>
    <row r="311" spans="2:19" hidden="1">
      <c r="B311" s="468">
        <v>299</v>
      </c>
      <c r="C311" s="497"/>
      <c r="D311" s="498"/>
      <c r="E311" s="499"/>
      <c r="F311" s="500"/>
      <c r="G311" s="35"/>
      <c r="H311" s="511">
        <f>IF(Consolidado_A!$G$133=7.6%,-(0.0165+0.076)*F311,0)</f>
        <v>0</v>
      </c>
      <c r="I311" s="35"/>
      <c r="J311" s="505"/>
      <c r="K311" s="506"/>
      <c r="L311" s="453"/>
      <c r="M311" s="513">
        <f t="shared" si="16"/>
        <v>0</v>
      </c>
      <c r="N311" s="512"/>
      <c r="O311" s="513">
        <f t="shared" si="17"/>
        <v>0</v>
      </c>
      <c r="P311" s="453"/>
      <c r="Q311" s="509">
        <f t="shared" si="19"/>
        <v>2.5000000000000001E-3</v>
      </c>
      <c r="R311" s="453"/>
      <c r="S311" s="513">
        <f t="shared" si="18"/>
        <v>0</v>
      </c>
    </row>
    <row r="312" spans="2:19" hidden="1">
      <c r="B312" s="468">
        <v>300</v>
      </c>
      <c r="C312" s="497"/>
      <c r="D312" s="498"/>
      <c r="E312" s="499"/>
      <c r="F312" s="500"/>
      <c r="G312" s="35"/>
      <c r="H312" s="511">
        <f>IF(Consolidado_A!$G$133=7.6%,-(0.0165+0.076)*F312,0)</f>
        <v>0</v>
      </c>
      <c r="I312" s="35"/>
      <c r="J312" s="505"/>
      <c r="K312" s="506"/>
      <c r="L312" s="453"/>
      <c r="M312" s="513">
        <f t="shared" si="16"/>
        <v>0</v>
      </c>
      <c r="N312" s="512"/>
      <c r="O312" s="513">
        <f t="shared" si="17"/>
        <v>0</v>
      </c>
      <c r="P312" s="453"/>
      <c r="Q312" s="509">
        <f t="shared" si="19"/>
        <v>2.5000000000000001E-3</v>
      </c>
      <c r="R312" s="453"/>
      <c r="S312" s="513">
        <f t="shared" si="18"/>
        <v>0</v>
      </c>
    </row>
    <row r="313" spans="2:19" hidden="1">
      <c r="B313" s="468">
        <v>301</v>
      </c>
      <c r="C313" s="497"/>
      <c r="D313" s="498"/>
      <c r="E313" s="499"/>
      <c r="F313" s="500"/>
      <c r="G313" s="35"/>
      <c r="H313" s="511">
        <f>IF(Consolidado_A!$G$133=7.6%,-(0.0165+0.076)*F313,0)</f>
        <v>0</v>
      </c>
      <c r="I313" s="35"/>
      <c r="J313" s="505"/>
      <c r="K313" s="506"/>
      <c r="L313" s="453"/>
      <c r="M313" s="513">
        <f t="shared" si="16"/>
        <v>0</v>
      </c>
      <c r="N313" s="512"/>
      <c r="O313" s="513">
        <f t="shared" si="17"/>
        <v>0</v>
      </c>
      <c r="P313" s="453"/>
      <c r="Q313" s="509">
        <f t="shared" si="19"/>
        <v>2.5000000000000001E-3</v>
      </c>
      <c r="R313" s="453"/>
      <c r="S313" s="513">
        <f t="shared" si="18"/>
        <v>0</v>
      </c>
    </row>
    <row r="314" spans="2:19" hidden="1">
      <c r="B314" s="468">
        <v>302</v>
      </c>
      <c r="C314" s="497"/>
      <c r="D314" s="498"/>
      <c r="E314" s="499"/>
      <c r="F314" s="500"/>
      <c r="G314" s="35"/>
      <c r="H314" s="511">
        <f>IF(Consolidado_A!$G$133=7.6%,-(0.0165+0.076)*F314,0)</f>
        <v>0</v>
      </c>
      <c r="I314" s="35"/>
      <c r="J314" s="505"/>
      <c r="K314" s="506"/>
      <c r="L314" s="453"/>
      <c r="M314" s="513">
        <f t="shared" si="16"/>
        <v>0</v>
      </c>
      <c r="N314" s="512"/>
      <c r="O314" s="513">
        <f t="shared" si="17"/>
        <v>0</v>
      </c>
      <c r="P314" s="453"/>
      <c r="Q314" s="509">
        <f t="shared" si="19"/>
        <v>2.5000000000000001E-3</v>
      </c>
      <c r="R314" s="453"/>
      <c r="S314" s="513">
        <f t="shared" si="18"/>
        <v>0</v>
      </c>
    </row>
    <row r="315" spans="2:19" hidden="1">
      <c r="B315" s="468">
        <v>303</v>
      </c>
      <c r="C315" s="497"/>
      <c r="D315" s="498"/>
      <c r="E315" s="499"/>
      <c r="F315" s="500"/>
      <c r="G315" s="35"/>
      <c r="H315" s="511">
        <f>IF(Consolidado_A!$G$133=7.6%,-(0.0165+0.076)*F315,0)</f>
        <v>0</v>
      </c>
      <c r="I315" s="35"/>
      <c r="J315" s="505"/>
      <c r="K315" s="506"/>
      <c r="L315" s="453"/>
      <c r="M315" s="513">
        <f t="shared" si="16"/>
        <v>0</v>
      </c>
      <c r="N315" s="512"/>
      <c r="O315" s="513">
        <f t="shared" si="17"/>
        <v>0</v>
      </c>
      <c r="P315" s="453"/>
      <c r="Q315" s="509">
        <f t="shared" si="19"/>
        <v>2.5000000000000001E-3</v>
      </c>
      <c r="R315" s="453"/>
      <c r="S315" s="513">
        <f t="shared" si="18"/>
        <v>0</v>
      </c>
    </row>
    <row r="316" spans="2:19" hidden="1">
      <c r="B316" s="468">
        <v>304</v>
      </c>
      <c r="C316" s="497"/>
      <c r="D316" s="498"/>
      <c r="E316" s="499"/>
      <c r="F316" s="500"/>
      <c r="G316" s="35"/>
      <c r="H316" s="511">
        <f>IF(Consolidado_A!$G$133=7.6%,-(0.0165+0.076)*F316,0)</f>
        <v>0</v>
      </c>
      <c r="I316" s="35"/>
      <c r="J316" s="505"/>
      <c r="K316" s="506"/>
      <c r="L316" s="453"/>
      <c r="M316" s="513">
        <f t="shared" si="16"/>
        <v>0</v>
      </c>
      <c r="N316" s="512"/>
      <c r="O316" s="513">
        <f t="shared" si="17"/>
        <v>0</v>
      </c>
      <c r="P316" s="453"/>
      <c r="Q316" s="509">
        <f t="shared" si="19"/>
        <v>2.5000000000000001E-3</v>
      </c>
      <c r="R316" s="453"/>
      <c r="S316" s="513">
        <f t="shared" si="18"/>
        <v>0</v>
      </c>
    </row>
    <row r="317" spans="2:19" hidden="1">
      <c r="B317" s="468">
        <v>305</v>
      </c>
      <c r="C317" s="497"/>
      <c r="D317" s="498"/>
      <c r="E317" s="499"/>
      <c r="F317" s="500"/>
      <c r="G317" s="35"/>
      <c r="H317" s="511">
        <f>IF(Consolidado_A!$G$133=7.6%,-(0.0165+0.076)*F317,0)</f>
        <v>0</v>
      </c>
      <c r="I317" s="35"/>
      <c r="J317" s="505"/>
      <c r="K317" s="506"/>
      <c r="L317" s="453"/>
      <c r="M317" s="513">
        <f t="shared" si="16"/>
        <v>0</v>
      </c>
      <c r="N317" s="512"/>
      <c r="O317" s="513">
        <f t="shared" si="17"/>
        <v>0</v>
      </c>
      <c r="P317" s="453"/>
      <c r="Q317" s="509">
        <f t="shared" si="19"/>
        <v>2.5000000000000001E-3</v>
      </c>
      <c r="R317" s="453"/>
      <c r="S317" s="513">
        <f t="shared" si="18"/>
        <v>0</v>
      </c>
    </row>
    <row r="318" spans="2:19" hidden="1">
      <c r="B318" s="468">
        <v>306</v>
      </c>
      <c r="C318" s="497"/>
      <c r="D318" s="498"/>
      <c r="E318" s="499"/>
      <c r="F318" s="500"/>
      <c r="G318" s="35"/>
      <c r="H318" s="511">
        <f>IF(Consolidado_A!$G$133=7.6%,-(0.0165+0.076)*F318,0)</f>
        <v>0</v>
      </c>
      <c r="I318" s="35"/>
      <c r="J318" s="505"/>
      <c r="K318" s="506"/>
      <c r="L318" s="453"/>
      <c r="M318" s="513">
        <f t="shared" si="16"/>
        <v>0</v>
      </c>
      <c r="N318" s="512"/>
      <c r="O318" s="513">
        <f t="shared" si="17"/>
        <v>0</v>
      </c>
      <c r="P318" s="453"/>
      <c r="Q318" s="509">
        <f t="shared" si="19"/>
        <v>2.5000000000000001E-3</v>
      </c>
      <c r="R318" s="453"/>
      <c r="S318" s="513">
        <f t="shared" si="18"/>
        <v>0</v>
      </c>
    </row>
    <row r="319" spans="2:19" hidden="1">
      <c r="B319" s="468">
        <v>307</v>
      </c>
      <c r="C319" s="497"/>
      <c r="D319" s="498"/>
      <c r="E319" s="499"/>
      <c r="F319" s="500"/>
      <c r="G319" s="35"/>
      <c r="H319" s="511">
        <f>IF(Consolidado_A!$G$133=7.6%,-(0.0165+0.076)*F319,0)</f>
        <v>0</v>
      </c>
      <c r="I319" s="35"/>
      <c r="J319" s="505"/>
      <c r="K319" s="506"/>
      <c r="L319" s="453"/>
      <c r="M319" s="513">
        <f t="shared" si="16"/>
        <v>0</v>
      </c>
      <c r="N319" s="512"/>
      <c r="O319" s="513">
        <f t="shared" si="17"/>
        <v>0</v>
      </c>
      <c r="P319" s="453"/>
      <c r="Q319" s="509">
        <f t="shared" si="19"/>
        <v>2.5000000000000001E-3</v>
      </c>
      <c r="R319" s="453"/>
      <c r="S319" s="513">
        <f t="shared" si="18"/>
        <v>0</v>
      </c>
    </row>
    <row r="320" spans="2:19" hidden="1">
      <c r="B320" s="468">
        <v>308</v>
      </c>
      <c r="C320" s="497"/>
      <c r="D320" s="498"/>
      <c r="E320" s="499"/>
      <c r="F320" s="500"/>
      <c r="G320" s="35"/>
      <c r="H320" s="511">
        <f>IF(Consolidado_A!$G$133=7.6%,-(0.0165+0.076)*F320,0)</f>
        <v>0</v>
      </c>
      <c r="I320" s="35"/>
      <c r="J320" s="505"/>
      <c r="K320" s="506"/>
      <c r="L320" s="453"/>
      <c r="M320" s="513">
        <f t="shared" si="16"/>
        <v>0</v>
      </c>
      <c r="N320" s="512"/>
      <c r="O320" s="513">
        <f t="shared" si="17"/>
        <v>0</v>
      </c>
      <c r="P320" s="453"/>
      <c r="Q320" s="509">
        <f t="shared" si="19"/>
        <v>2.5000000000000001E-3</v>
      </c>
      <c r="R320" s="453"/>
      <c r="S320" s="513">
        <f t="shared" si="18"/>
        <v>0</v>
      </c>
    </row>
    <row r="321" spans="2:19" hidden="1">
      <c r="B321" s="468">
        <v>309</v>
      </c>
      <c r="C321" s="497"/>
      <c r="D321" s="498"/>
      <c r="E321" s="499"/>
      <c r="F321" s="500"/>
      <c r="G321" s="35"/>
      <c r="H321" s="511">
        <f>IF(Consolidado_A!$G$133=7.6%,-(0.0165+0.076)*F321,0)</f>
        <v>0</v>
      </c>
      <c r="I321" s="35"/>
      <c r="J321" s="505"/>
      <c r="K321" s="506"/>
      <c r="L321" s="453"/>
      <c r="M321" s="513">
        <f t="shared" si="16"/>
        <v>0</v>
      </c>
      <c r="N321" s="512"/>
      <c r="O321" s="513">
        <f t="shared" si="17"/>
        <v>0</v>
      </c>
      <c r="Q321" s="509">
        <f t="shared" si="19"/>
        <v>2.5000000000000001E-3</v>
      </c>
      <c r="S321" s="513">
        <f t="shared" si="18"/>
        <v>0</v>
      </c>
    </row>
    <row r="322" spans="2:19" hidden="1">
      <c r="B322" s="468">
        <v>310</v>
      </c>
      <c r="C322" s="497"/>
      <c r="D322" s="498"/>
      <c r="E322" s="499"/>
      <c r="F322" s="500"/>
      <c r="G322" s="35"/>
      <c r="H322" s="511">
        <f>IF(Consolidado_A!$G$133=7.6%,-(0.0165+0.076)*F322,0)</f>
        <v>0</v>
      </c>
      <c r="I322" s="35"/>
      <c r="J322" s="505"/>
      <c r="K322" s="506"/>
      <c r="L322" s="453"/>
      <c r="M322" s="513">
        <f t="shared" si="16"/>
        <v>0</v>
      </c>
      <c r="N322" s="512"/>
      <c r="O322" s="513">
        <f t="shared" si="17"/>
        <v>0</v>
      </c>
      <c r="Q322" s="509">
        <f t="shared" si="19"/>
        <v>2.5000000000000001E-3</v>
      </c>
      <c r="S322" s="513">
        <f t="shared" si="18"/>
        <v>0</v>
      </c>
    </row>
    <row r="323" spans="2:19" hidden="1">
      <c r="B323" s="468">
        <v>311</v>
      </c>
      <c r="C323" s="497"/>
      <c r="D323" s="498"/>
      <c r="E323" s="499"/>
      <c r="F323" s="500"/>
      <c r="G323" s="35"/>
      <c r="H323" s="511">
        <f>IF(Consolidado_A!$G$133=7.6%,-(0.0165+0.076)*F323,0)</f>
        <v>0</v>
      </c>
      <c r="I323" s="35"/>
      <c r="J323" s="505"/>
      <c r="K323" s="506"/>
      <c r="L323" s="453"/>
      <c r="M323" s="513">
        <f t="shared" si="16"/>
        <v>0</v>
      </c>
      <c r="N323" s="512"/>
      <c r="O323" s="513">
        <f t="shared" si="17"/>
        <v>0</v>
      </c>
      <c r="Q323" s="509">
        <f t="shared" si="19"/>
        <v>2.5000000000000001E-3</v>
      </c>
      <c r="S323" s="513">
        <f t="shared" si="18"/>
        <v>0</v>
      </c>
    </row>
    <row r="324" spans="2:19" hidden="1">
      <c r="B324" s="468">
        <v>312</v>
      </c>
      <c r="C324" s="497"/>
      <c r="D324" s="498"/>
      <c r="E324" s="499"/>
      <c r="F324" s="500"/>
      <c r="G324" s="35"/>
      <c r="H324" s="511">
        <f>IF(Consolidado_A!$G$133=7.6%,-(0.0165+0.076)*F324,0)</f>
        <v>0</v>
      </c>
      <c r="I324" s="35"/>
      <c r="J324" s="505"/>
      <c r="K324" s="506"/>
      <c r="L324" s="453"/>
      <c r="M324" s="513">
        <f t="shared" si="16"/>
        <v>0</v>
      </c>
      <c r="N324" s="512"/>
      <c r="O324" s="513">
        <f t="shared" si="17"/>
        <v>0</v>
      </c>
      <c r="Q324" s="509">
        <f t="shared" si="19"/>
        <v>2.5000000000000001E-3</v>
      </c>
      <c r="S324" s="513">
        <f t="shared" si="18"/>
        <v>0</v>
      </c>
    </row>
    <row r="325" spans="2:19" hidden="1">
      <c r="B325" s="468">
        <v>313</v>
      </c>
      <c r="C325" s="497"/>
      <c r="D325" s="498"/>
      <c r="E325" s="499"/>
      <c r="F325" s="500"/>
      <c r="G325" s="35"/>
      <c r="H325" s="511">
        <f>IF(Consolidado_A!$G$133=7.6%,-(0.0165+0.076)*F325,0)</f>
        <v>0</v>
      </c>
      <c r="I325" s="35"/>
      <c r="J325" s="505"/>
      <c r="K325" s="506"/>
      <c r="L325" s="453"/>
      <c r="M325" s="513">
        <f t="shared" si="16"/>
        <v>0</v>
      </c>
      <c r="N325" s="512"/>
      <c r="O325" s="513">
        <f t="shared" si="17"/>
        <v>0</v>
      </c>
      <c r="Q325" s="509">
        <f t="shared" si="19"/>
        <v>2.5000000000000001E-3</v>
      </c>
      <c r="S325" s="513">
        <f t="shared" si="18"/>
        <v>0</v>
      </c>
    </row>
    <row r="326" spans="2:19" hidden="1">
      <c r="B326" s="468">
        <v>314</v>
      </c>
      <c r="C326" s="497"/>
      <c r="D326" s="498"/>
      <c r="E326" s="499"/>
      <c r="F326" s="500"/>
      <c r="G326" s="35"/>
      <c r="H326" s="511">
        <f>IF(Consolidado_A!$G$133=7.6%,-(0.0165+0.076)*F326,0)</f>
        <v>0</v>
      </c>
      <c r="I326" s="35"/>
      <c r="J326" s="505"/>
      <c r="K326" s="506"/>
      <c r="L326" s="453"/>
      <c r="M326" s="513">
        <f t="shared" si="16"/>
        <v>0</v>
      </c>
      <c r="N326" s="512"/>
      <c r="O326" s="513">
        <f t="shared" si="17"/>
        <v>0</v>
      </c>
      <c r="Q326" s="509">
        <f t="shared" si="19"/>
        <v>2.5000000000000001E-3</v>
      </c>
      <c r="S326" s="513">
        <f t="shared" si="18"/>
        <v>0</v>
      </c>
    </row>
    <row r="327" spans="2:19" hidden="1">
      <c r="B327" s="468">
        <v>315</v>
      </c>
      <c r="C327" s="497"/>
      <c r="D327" s="498"/>
      <c r="E327" s="499"/>
      <c r="F327" s="500"/>
      <c r="G327" s="35"/>
      <c r="H327" s="511">
        <f>IF(Consolidado_A!$G$133=7.6%,-(0.0165+0.076)*F327,0)</f>
        <v>0</v>
      </c>
      <c r="I327" s="35"/>
      <c r="J327" s="505"/>
      <c r="K327" s="506"/>
      <c r="L327" s="453"/>
      <c r="M327" s="513">
        <f t="shared" si="16"/>
        <v>0</v>
      </c>
      <c r="N327" s="512"/>
      <c r="O327" s="513">
        <f t="shared" si="17"/>
        <v>0</v>
      </c>
      <c r="Q327" s="509">
        <f t="shared" si="19"/>
        <v>2.5000000000000001E-3</v>
      </c>
      <c r="S327" s="513">
        <f t="shared" si="18"/>
        <v>0</v>
      </c>
    </row>
    <row r="328" spans="2:19" hidden="1">
      <c r="B328" s="468">
        <v>316</v>
      </c>
      <c r="C328" s="497"/>
      <c r="D328" s="498"/>
      <c r="E328" s="499"/>
      <c r="F328" s="500"/>
      <c r="G328" s="35"/>
      <c r="H328" s="511">
        <f>IF(Consolidado_A!$G$133=7.6%,-(0.0165+0.076)*F328,0)</f>
        <v>0</v>
      </c>
      <c r="I328" s="35"/>
      <c r="J328" s="505"/>
      <c r="K328" s="506"/>
      <c r="L328" s="453"/>
      <c r="M328" s="513">
        <f t="shared" si="16"/>
        <v>0</v>
      </c>
      <c r="N328" s="512"/>
      <c r="O328" s="513">
        <f t="shared" si="17"/>
        <v>0</v>
      </c>
      <c r="Q328" s="509">
        <f t="shared" si="19"/>
        <v>2.5000000000000001E-3</v>
      </c>
      <c r="S328" s="513">
        <f t="shared" si="18"/>
        <v>0</v>
      </c>
    </row>
    <row r="329" spans="2:19" hidden="1">
      <c r="B329" s="468">
        <v>317</v>
      </c>
      <c r="C329" s="497"/>
      <c r="D329" s="498"/>
      <c r="E329" s="499"/>
      <c r="F329" s="500"/>
      <c r="G329" s="35"/>
      <c r="H329" s="511">
        <f>IF(Consolidado_A!$G$133=7.6%,-(0.0165+0.076)*F329,0)</f>
        <v>0</v>
      </c>
      <c r="I329" s="35"/>
      <c r="J329" s="505"/>
      <c r="K329" s="506"/>
      <c r="L329" s="453"/>
      <c r="M329" s="513">
        <f t="shared" si="16"/>
        <v>0</v>
      </c>
      <c r="N329" s="512"/>
      <c r="O329" s="513">
        <f t="shared" si="17"/>
        <v>0</v>
      </c>
      <c r="Q329" s="509">
        <f t="shared" si="19"/>
        <v>2.5000000000000001E-3</v>
      </c>
      <c r="S329" s="513">
        <f t="shared" si="18"/>
        <v>0</v>
      </c>
    </row>
    <row r="330" spans="2:19" hidden="1">
      <c r="B330" s="468">
        <v>318</v>
      </c>
      <c r="C330" s="497"/>
      <c r="D330" s="498"/>
      <c r="E330" s="499"/>
      <c r="F330" s="500"/>
      <c r="G330" s="35"/>
      <c r="H330" s="511">
        <f>IF(Consolidado_A!$G$133=7.6%,-(0.0165+0.076)*F330,0)</f>
        <v>0</v>
      </c>
      <c r="I330" s="35"/>
      <c r="J330" s="505"/>
      <c r="K330" s="506"/>
      <c r="L330" s="453"/>
      <c r="M330" s="513">
        <f t="shared" si="16"/>
        <v>0</v>
      </c>
      <c r="N330" s="512"/>
      <c r="O330" s="513">
        <f t="shared" si="17"/>
        <v>0</v>
      </c>
      <c r="Q330" s="509">
        <f t="shared" si="19"/>
        <v>2.5000000000000001E-3</v>
      </c>
      <c r="S330" s="513">
        <f t="shared" si="18"/>
        <v>0</v>
      </c>
    </row>
    <row r="331" spans="2:19" hidden="1">
      <c r="B331" s="468">
        <v>319</v>
      </c>
      <c r="C331" s="497"/>
      <c r="D331" s="498"/>
      <c r="E331" s="499"/>
      <c r="F331" s="500"/>
      <c r="G331" s="35"/>
      <c r="H331" s="511">
        <f>IF(Consolidado_A!$G$133=7.6%,-(0.0165+0.076)*F331,0)</f>
        <v>0</v>
      </c>
      <c r="I331" s="35"/>
      <c r="J331" s="505"/>
      <c r="K331" s="506"/>
      <c r="L331" s="453"/>
      <c r="M331" s="513">
        <f t="shared" si="16"/>
        <v>0</v>
      </c>
      <c r="N331" s="512"/>
      <c r="O331" s="513">
        <f t="shared" si="17"/>
        <v>0</v>
      </c>
      <c r="Q331" s="509">
        <f t="shared" si="19"/>
        <v>2.5000000000000001E-3</v>
      </c>
      <c r="S331" s="513">
        <f t="shared" si="18"/>
        <v>0</v>
      </c>
    </row>
    <row r="332" spans="2:19" hidden="1">
      <c r="B332" s="468">
        <v>320</v>
      </c>
      <c r="C332" s="497"/>
      <c r="D332" s="498"/>
      <c r="E332" s="499"/>
      <c r="F332" s="500"/>
      <c r="G332" s="35"/>
      <c r="H332" s="511">
        <f>IF(Consolidado_A!$G$133=7.6%,-(0.0165+0.076)*F332,0)</f>
        <v>0</v>
      </c>
      <c r="I332" s="35"/>
      <c r="J332" s="505"/>
      <c r="K332" s="506"/>
      <c r="L332" s="453"/>
      <c r="M332" s="513">
        <f t="shared" si="16"/>
        <v>0</v>
      </c>
      <c r="N332" s="512"/>
      <c r="O332" s="513">
        <f t="shared" si="17"/>
        <v>0</v>
      </c>
      <c r="Q332" s="509">
        <f t="shared" si="19"/>
        <v>2.5000000000000001E-3</v>
      </c>
      <c r="S332" s="513">
        <f t="shared" si="18"/>
        <v>0</v>
      </c>
    </row>
    <row r="333" spans="2:19" hidden="1">
      <c r="B333" s="468">
        <v>321</v>
      </c>
      <c r="C333" s="497"/>
      <c r="D333" s="498"/>
      <c r="E333" s="499"/>
      <c r="F333" s="500"/>
      <c r="G333" s="35"/>
      <c r="H333" s="511">
        <f>IF(Consolidado_A!$G$133=7.6%,-(0.0165+0.076)*F333,0)</f>
        <v>0</v>
      </c>
      <c r="I333" s="35"/>
      <c r="J333" s="505"/>
      <c r="K333" s="506"/>
      <c r="L333" s="453"/>
      <c r="M333" s="513">
        <f t="shared" ref="M333:M396" si="20">IF(E333&gt;0,(F333+H333)-J333,0)</f>
        <v>0</v>
      </c>
      <c r="N333" s="512"/>
      <c r="O333" s="513">
        <f t="shared" ref="O333:O396" si="21">IF(E333=0,0,(M333/K333)*E333)</f>
        <v>0</v>
      </c>
      <c r="Q333" s="509">
        <f t="shared" si="19"/>
        <v>2.5000000000000001E-3</v>
      </c>
      <c r="S333" s="513">
        <f t="shared" ref="S333:S396" si="22">E333*(M333*Q333)</f>
        <v>0</v>
      </c>
    </row>
    <row r="334" spans="2:19" hidden="1">
      <c r="B334" s="468">
        <v>322</v>
      </c>
      <c r="C334" s="497"/>
      <c r="D334" s="498"/>
      <c r="E334" s="499"/>
      <c r="F334" s="500"/>
      <c r="G334" s="35"/>
      <c r="H334" s="511">
        <f>IF(Consolidado_A!$G$133=7.6%,-(0.0165+0.076)*F334,0)</f>
        <v>0</v>
      </c>
      <c r="I334" s="35"/>
      <c r="J334" s="505"/>
      <c r="K334" s="506"/>
      <c r="L334" s="453"/>
      <c r="M334" s="513">
        <f t="shared" si="20"/>
        <v>0</v>
      </c>
      <c r="N334" s="512"/>
      <c r="O334" s="513">
        <f t="shared" si="21"/>
        <v>0</v>
      </c>
      <c r="P334" s="453"/>
      <c r="Q334" s="509">
        <f t="shared" ref="Q334:Q397" si="23">Q333</f>
        <v>2.5000000000000001E-3</v>
      </c>
      <c r="R334" s="453"/>
      <c r="S334" s="513">
        <f t="shared" si="22"/>
        <v>0</v>
      </c>
    </row>
    <row r="335" spans="2:19" hidden="1">
      <c r="B335" s="468">
        <v>323</v>
      </c>
      <c r="C335" s="497"/>
      <c r="D335" s="498"/>
      <c r="E335" s="499"/>
      <c r="F335" s="500"/>
      <c r="G335" s="35"/>
      <c r="H335" s="511">
        <f>IF(Consolidado_A!$G$133=7.6%,-(0.0165+0.076)*F335,0)</f>
        <v>0</v>
      </c>
      <c r="I335" s="35"/>
      <c r="J335" s="505"/>
      <c r="K335" s="506"/>
      <c r="L335" s="453"/>
      <c r="M335" s="513">
        <f t="shared" si="20"/>
        <v>0</v>
      </c>
      <c r="N335" s="512"/>
      <c r="O335" s="513">
        <f t="shared" si="21"/>
        <v>0</v>
      </c>
      <c r="P335" s="453"/>
      <c r="Q335" s="509">
        <f t="shared" si="23"/>
        <v>2.5000000000000001E-3</v>
      </c>
      <c r="R335" s="453"/>
      <c r="S335" s="513">
        <f t="shared" si="22"/>
        <v>0</v>
      </c>
    </row>
    <row r="336" spans="2:19" hidden="1">
      <c r="B336" s="468">
        <v>324</v>
      </c>
      <c r="C336" s="497"/>
      <c r="D336" s="498"/>
      <c r="E336" s="499"/>
      <c r="F336" s="500"/>
      <c r="G336" s="35"/>
      <c r="H336" s="511">
        <f>IF(Consolidado_A!$G$133=7.6%,-(0.0165+0.076)*F336,0)</f>
        <v>0</v>
      </c>
      <c r="I336" s="35"/>
      <c r="J336" s="505"/>
      <c r="K336" s="506"/>
      <c r="L336" s="453"/>
      <c r="M336" s="513">
        <f t="shared" si="20"/>
        <v>0</v>
      </c>
      <c r="N336" s="512"/>
      <c r="O336" s="513">
        <f t="shared" si="21"/>
        <v>0</v>
      </c>
      <c r="P336" s="453"/>
      <c r="Q336" s="509">
        <f t="shared" si="23"/>
        <v>2.5000000000000001E-3</v>
      </c>
      <c r="R336" s="453"/>
      <c r="S336" s="513">
        <f t="shared" si="22"/>
        <v>0</v>
      </c>
    </row>
    <row r="337" spans="2:19" hidden="1">
      <c r="B337" s="468">
        <v>325</v>
      </c>
      <c r="C337" s="497"/>
      <c r="D337" s="498"/>
      <c r="E337" s="499"/>
      <c r="F337" s="500"/>
      <c r="G337" s="35"/>
      <c r="H337" s="511">
        <f>IF(Consolidado_A!$G$133=7.6%,-(0.0165+0.076)*F337,0)</f>
        <v>0</v>
      </c>
      <c r="I337" s="35"/>
      <c r="J337" s="505"/>
      <c r="K337" s="506"/>
      <c r="L337" s="453"/>
      <c r="M337" s="513">
        <f t="shared" si="20"/>
        <v>0</v>
      </c>
      <c r="N337" s="512"/>
      <c r="O337" s="513">
        <f t="shared" si="21"/>
        <v>0</v>
      </c>
      <c r="P337" s="453"/>
      <c r="Q337" s="509">
        <f t="shared" si="23"/>
        <v>2.5000000000000001E-3</v>
      </c>
      <c r="R337" s="453"/>
      <c r="S337" s="513">
        <f t="shared" si="22"/>
        <v>0</v>
      </c>
    </row>
    <row r="338" spans="2:19" hidden="1">
      <c r="B338" s="468">
        <v>326</v>
      </c>
      <c r="C338" s="497"/>
      <c r="D338" s="498"/>
      <c r="E338" s="499"/>
      <c r="F338" s="500"/>
      <c r="G338" s="35"/>
      <c r="H338" s="511">
        <f>IF(Consolidado_A!$G$133=7.6%,-(0.0165+0.076)*F338,0)</f>
        <v>0</v>
      </c>
      <c r="I338" s="35"/>
      <c r="J338" s="505"/>
      <c r="K338" s="506"/>
      <c r="L338" s="453"/>
      <c r="M338" s="513">
        <f t="shared" si="20"/>
        <v>0</v>
      </c>
      <c r="N338" s="512"/>
      <c r="O338" s="513">
        <f t="shared" si="21"/>
        <v>0</v>
      </c>
      <c r="P338" s="453"/>
      <c r="Q338" s="509">
        <f t="shared" si="23"/>
        <v>2.5000000000000001E-3</v>
      </c>
      <c r="R338" s="453"/>
      <c r="S338" s="513">
        <f t="shared" si="22"/>
        <v>0</v>
      </c>
    </row>
    <row r="339" spans="2:19" hidden="1">
      <c r="B339" s="468">
        <v>327</v>
      </c>
      <c r="C339" s="497"/>
      <c r="D339" s="498"/>
      <c r="E339" s="499"/>
      <c r="F339" s="500"/>
      <c r="G339" s="35"/>
      <c r="H339" s="511">
        <f>IF(Consolidado_A!$G$133=7.6%,-(0.0165+0.076)*F339,0)</f>
        <v>0</v>
      </c>
      <c r="I339" s="35"/>
      <c r="J339" s="505"/>
      <c r="K339" s="506"/>
      <c r="L339" s="453"/>
      <c r="M339" s="513">
        <f t="shared" si="20"/>
        <v>0</v>
      </c>
      <c r="N339" s="512"/>
      <c r="O339" s="513">
        <f t="shared" si="21"/>
        <v>0</v>
      </c>
      <c r="P339" s="453"/>
      <c r="Q339" s="509">
        <f t="shared" si="23"/>
        <v>2.5000000000000001E-3</v>
      </c>
      <c r="R339" s="453"/>
      <c r="S339" s="513">
        <f t="shared" si="22"/>
        <v>0</v>
      </c>
    </row>
    <row r="340" spans="2:19" hidden="1">
      <c r="B340" s="468">
        <v>328</v>
      </c>
      <c r="C340" s="497"/>
      <c r="D340" s="498"/>
      <c r="E340" s="499"/>
      <c r="F340" s="500"/>
      <c r="G340" s="35"/>
      <c r="H340" s="511">
        <f>IF(Consolidado_A!$G$133=7.6%,-(0.0165+0.076)*F340,0)</f>
        <v>0</v>
      </c>
      <c r="I340" s="35"/>
      <c r="J340" s="505"/>
      <c r="K340" s="506"/>
      <c r="L340" s="453"/>
      <c r="M340" s="513">
        <f t="shared" si="20"/>
        <v>0</v>
      </c>
      <c r="N340" s="512"/>
      <c r="O340" s="513">
        <f t="shared" si="21"/>
        <v>0</v>
      </c>
      <c r="P340" s="453"/>
      <c r="Q340" s="509">
        <f t="shared" si="23"/>
        <v>2.5000000000000001E-3</v>
      </c>
      <c r="R340" s="453"/>
      <c r="S340" s="513">
        <f t="shared" si="22"/>
        <v>0</v>
      </c>
    </row>
    <row r="341" spans="2:19" hidden="1">
      <c r="B341" s="468">
        <v>329</v>
      </c>
      <c r="C341" s="497"/>
      <c r="D341" s="498"/>
      <c r="E341" s="499"/>
      <c r="F341" s="500"/>
      <c r="G341" s="35"/>
      <c r="H341" s="511">
        <f>IF(Consolidado_A!$G$133=7.6%,-(0.0165+0.076)*F341,0)</f>
        <v>0</v>
      </c>
      <c r="I341" s="35"/>
      <c r="J341" s="505"/>
      <c r="K341" s="506"/>
      <c r="L341" s="453"/>
      <c r="M341" s="513">
        <f t="shared" si="20"/>
        <v>0</v>
      </c>
      <c r="N341" s="512"/>
      <c r="O341" s="513">
        <f t="shared" si="21"/>
        <v>0</v>
      </c>
      <c r="P341" s="453"/>
      <c r="Q341" s="509">
        <f t="shared" si="23"/>
        <v>2.5000000000000001E-3</v>
      </c>
      <c r="R341" s="453"/>
      <c r="S341" s="513">
        <f t="shared" si="22"/>
        <v>0</v>
      </c>
    </row>
    <row r="342" spans="2:19" hidden="1">
      <c r="B342" s="468">
        <v>330</v>
      </c>
      <c r="C342" s="497"/>
      <c r="D342" s="498"/>
      <c r="E342" s="499"/>
      <c r="F342" s="500"/>
      <c r="G342" s="35"/>
      <c r="H342" s="511">
        <f>IF(Consolidado_A!$G$133=7.6%,-(0.0165+0.076)*F342,0)</f>
        <v>0</v>
      </c>
      <c r="I342" s="35"/>
      <c r="J342" s="505"/>
      <c r="K342" s="506"/>
      <c r="L342" s="453"/>
      <c r="M342" s="513">
        <f t="shared" si="20"/>
        <v>0</v>
      </c>
      <c r="N342" s="512"/>
      <c r="O342" s="513">
        <f t="shared" si="21"/>
        <v>0</v>
      </c>
      <c r="P342" s="453"/>
      <c r="Q342" s="509">
        <f t="shared" si="23"/>
        <v>2.5000000000000001E-3</v>
      </c>
      <c r="R342" s="453"/>
      <c r="S342" s="513">
        <f t="shared" si="22"/>
        <v>0</v>
      </c>
    </row>
    <row r="343" spans="2:19" hidden="1">
      <c r="B343" s="468">
        <v>331</v>
      </c>
      <c r="C343" s="497"/>
      <c r="D343" s="498"/>
      <c r="E343" s="499"/>
      <c r="F343" s="500"/>
      <c r="G343" s="35"/>
      <c r="H343" s="511">
        <f>IF(Consolidado_A!$G$133=7.6%,-(0.0165+0.076)*F343,0)</f>
        <v>0</v>
      </c>
      <c r="I343" s="35"/>
      <c r="J343" s="505"/>
      <c r="K343" s="506"/>
      <c r="L343" s="453"/>
      <c r="M343" s="513">
        <f t="shared" si="20"/>
        <v>0</v>
      </c>
      <c r="N343" s="512"/>
      <c r="O343" s="513">
        <f t="shared" si="21"/>
        <v>0</v>
      </c>
      <c r="P343" s="453"/>
      <c r="Q343" s="509">
        <f t="shared" si="23"/>
        <v>2.5000000000000001E-3</v>
      </c>
      <c r="R343" s="453"/>
      <c r="S343" s="513">
        <f t="shared" si="22"/>
        <v>0</v>
      </c>
    </row>
    <row r="344" spans="2:19" hidden="1">
      <c r="B344" s="468">
        <v>332</v>
      </c>
      <c r="C344" s="497"/>
      <c r="D344" s="498"/>
      <c r="E344" s="499"/>
      <c r="F344" s="500"/>
      <c r="G344" s="35"/>
      <c r="H344" s="511">
        <f>IF(Consolidado_A!$G$133=7.6%,-(0.0165+0.076)*F344,0)</f>
        <v>0</v>
      </c>
      <c r="I344" s="35"/>
      <c r="J344" s="505"/>
      <c r="K344" s="506"/>
      <c r="L344" s="453"/>
      <c r="M344" s="513">
        <f t="shared" si="20"/>
        <v>0</v>
      </c>
      <c r="N344" s="512"/>
      <c r="O344" s="513">
        <f t="shared" si="21"/>
        <v>0</v>
      </c>
      <c r="P344" s="453"/>
      <c r="Q344" s="509">
        <f t="shared" si="23"/>
        <v>2.5000000000000001E-3</v>
      </c>
      <c r="R344" s="453"/>
      <c r="S344" s="513">
        <f t="shared" si="22"/>
        <v>0</v>
      </c>
    </row>
    <row r="345" spans="2:19" hidden="1">
      <c r="B345" s="468">
        <v>333</v>
      </c>
      <c r="C345" s="497"/>
      <c r="D345" s="498"/>
      <c r="E345" s="499"/>
      <c r="F345" s="500"/>
      <c r="G345" s="35"/>
      <c r="H345" s="511">
        <f>IF(Consolidado_A!$G$133=7.6%,-(0.0165+0.076)*F345,0)</f>
        <v>0</v>
      </c>
      <c r="I345" s="35"/>
      <c r="J345" s="505"/>
      <c r="K345" s="506"/>
      <c r="L345" s="453"/>
      <c r="M345" s="513">
        <f t="shared" si="20"/>
        <v>0</v>
      </c>
      <c r="N345" s="512"/>
      <c r="O345" s="513">
        <f t="shared" si="21"/>
        <v>0</v>
      </c>
      <c r="Q345" s="509">
        <f t="shared" si="23"/>
        <v>2.5000000000000001E-3</v>
      </c>
      <c r="S345" s="513">
        <f t="shared" si="22"/>
        <v>0</v>
      </c>
    </row>
    <row r="346" spans="2:19" hidden="1">
      <c r="B346" s="468">
        <v>334</v>
      </c>
      <c r="C346" s="497"/>
      <c r="D346" s="498"/>
      <c r="E346" s="499"/>
      <c r="F346" s="500"/>
      <c r="G346" s="35"/>
      <c r="H346" s="511">
        <f>IF(Consolidado_A!$G$133=7.6%,-(0.0165+0.076)*F346,0)</f>
        <v>0</v>
      </c>
      <c r="I346" s="35"/>
      <c r="J346" s="505"/>
      <c r="K346" s="506"/>
      <c r="L346" s="453"/>
      <c r="M346" s="513">
        <f t="shared" si="20"/>
        <v>0</v>
      </c>
      <c r="N346" s="512"/>
      <c r="O346" s="513">
        <f t="shared" si="21"/>
        <v>0</v>
      </c>
      <c r="Q346" s="509">
        <f t="shared" si="23"/>
        <v>2.5000000000000001E-3</v>
      </c>
      <c r="S346" s="513">
        <f t="shared" si="22"/>
        <v>0</v>
      </c>
    </row>
    <row r="347" spans="2:19" hidden="1">
      <c r="B347" s="468">
        <v>335</v>
      </c>
      <c r="C347" s="497"/>
      <c r="D347" s="498"/>
      <c r="E347" s="499"/>
      <c r="F347" s="500"/>
      <c r="G347" s="35"/>
      <c r="H347" s="511">
        <f>IF(Consolidado_A!$G$133=7.6%,-(0.0165+0.076)*F347,0)</f>
        <v>0</v>
      </c>
      <c r="I347" s="35"/>
      <c r="J347" s="505"/>
      <c r="K347" s="506"/>
      <c r="L347" s="453"/>
      <c r="M347" s="513">
        <f t="shared" si="20"/>
        <v>0</v>
      </c>
      <c r="N347" s="512"/>
      <c r="O347" s="513">
        <f t="shared" si="21"/>
        <v>0</v>
      </c>
      <c r="Q347" s="509">
        <f t="shared" si="23"/>
        <v>2.5000000000000001E-3</v>
      </c>
      <c r="S347" s="513">
        <f t="shared" si="22"/>
        <v>0</v>
      </c>
    </row>
    <row r="348" spans="2:19" hidden="1">
      <c r="B348" s="468">
        <v>336</v>
      </c>
      <c r="C348" s="497"/>
      <c r="D348" s="498"/>
      <c r="E348" s="499"/>
      <c r="F348" s="500"/>
      <c r="G348" s="35"/>
      <c r="H348" s="511">
        <f>IF(Consolidado_A!$G$133=7.6%,-(0.0165+0.076)*F348,0)</f>
        <v>0</v>
      </c>
      <c r="I348" s="35"/>
      <c r="J348" s="505"/>
      <c r="K348" s="506"/>
      <c r="L348" s="453"/>
      <c r="M348" s="513">
        <f t="shared" si="20"/>
        <v>0</v>
      </c>
      <c r="N348" s="512"/>
      <c r="O348" s="513">
        <f t="shared" si="21"/>
        <v>0</v>
      </c>
      <c r="Q348" s="509">
        <f t="shared" si="23"/>
        <v>2.5000000000000001E-3</v>
      </c>
      <c r="S348" s="513">
        <f t="shared" si="22"/>
        <v>0</v>
      </c>
    </row>
    <row r="349" spans="2:19" hidden="1">
      <c r="B349" s="468">
        <v>337</v>
      </c>
      <c r="C349" s="497"/>
      <c r="D349" s="498"/>
      <c r="E349" s="499"/>
      <c r="F349" s="500"/>
      <c r="G349" s="35"/>
      <c r="H349" s="511">
        <f>IF(Consolidado_A!$G$133=7.6%,-(0.0165+0.076)*F349,0)</f>
        <v>0</v>
      </c>
      <c r="I349" s="35"/>
      <c r="J349" s="505"/>
      <c r="K349" s="506"/>
      <c r="L349" s="453"/>
      <c r="M349" s="513">
        <f t="shared" si="20"/>
        <v>0</v>
      </c>
      <c r="N349" s="512"/>
      <c r="O349" s="513">
        <f t="shared" si="21"/>
        <v>0</v>
      </c>
      <c r="Q349" s="509">
        <f t="shared" si="23"/>
        <v>2.5000000000000001E-3</v>
      </c>
      <c r="S349" s="513">
        <f t="shared" si="22"/>
        <v>0</v>
      </c>
    </row>
    <row r="350" spans="2:19" hidden="1">
      <c r="B350" s="468">
        <v>338</v>
      </c>
      <c r="C350" s="497"/>
      <c r="D350" s="498"/>
      <c r="E350" s="499"/>
      <c r="F350" s="500"/>
      <c r="G350" s="35"/>
      <c r="H350" s="511">
        <f>IF(Consolidado_A!$G$133=7.6%,-(0.0165+0.076)*F350,0)</f>
        <v>0</v>
      </c>
      <c r="I350" s="35"/>
      <c r="J350" s="505"/>
      <c r="K350" s="506"/>
      <c r="L350" s="453"/>
      <c r="M350" s="513">
        <f t="shared" si="20"/>
        <v>0</v>
      </c>
      <c r="N350" s="512"/>
      <c r="O350" s="513">
        <f t="shared" si="21"/>
        <v>0</v>
      </c>
      <c r="Q350" s="509">
        <f t="shared" si="23"/>
        <v>2.5000000000000001E-3</v>
      </c>
      <c r="S350" s="513">
        <f t="shared" si="22"/>
        <v>0</v>
      </c>
    </row>
    <row r="351" spans="2:19" hidden="1">
      <c r="B351" s="468">
        <v>339</v>
      </c>
      <c r="C351" s="497"/>
      <c r="D351" s="498"/>
      <c r="E351" s="499"/>
      <c r="F351" s="500"/>
      <c r="G351" s="35"/>
      <c r="H351" s="511">
        <f>IF(Consolidado_A!$G$133=7.6%,-(0.0165+0.076)*F351,0)</f>
        <v>0</v>
      </c>
      <c r="I351" s="35"/>
      <c r="J351" s="505"/>
      <c r="K351" s="506"/>
      <c r="L351" s="453"/>
      <c r="M351" s="513">
        <f t="shared" si="20"/>
        <v>0</v>
      </c>
      <c r="N351" s="512"/>
      <c r="O351" s="513">
        <f t="shared" si="21"/>
        <v>0</v>
      </c>
      <c r="Q351" s="509">
        <f t="shared" si="23"/>
        <v>2.5000000000000001E-3</v>
      </c>
      <c r="S351" s="513">
        <f t="shared" si="22"/>
        <v>0</v>
      </c>
    </row>
    <row r="352" spans="2:19" hidden="1">
      <c r="B352" s="468">
        <v>340</v>
      </c>
      <c r="C352" s="497"/>
      <c r="D352" s="498"/>
      <c r="E352" s="499"/>
      <c r="F352" s="500"/>
      <c r="G352" s="35"/>
      <c r="H352" s="511">
        <f>IF(Consolidado_A!$G$133=7.6%,-(0.0165+0.076)*F352,0)</f>
        <v>0</v>
      </c>
      <c r="I352" s="35"/>
      <c r="J352" s="505"/>
      <c r="K352" s="506"/>
      <c r="L352" s="453"/>
      <c r="M352" s="513">
        <f t="shared" si="20"/>
        <v>0</v>
      </c>
      <c r="N352" s="512"/>
      <c r="O352" s="513">
        <f t="shared" si="21"/>
        <v>0</v>
      </c>
      <c r="Q352" s="509">
        <f t="shared" si="23"/>
        <v>2.5000000000000001E-3</v>
      </c>
      <c r="S352" s="513">
        <f t="shared" si="22"/>
        <v>0</v>
      </c>
    </row>
    <row r="353" spans="2:19" hidden="1">
      <c r="B353" s="468">
        <v>341</v>
      </c>
      <c r="C353" s="497"/>
      <c r="D353" s="498"/>
      <c r="E353" s="499"/>
      <c r="F353" s="500"/>
      <c r="G353" s="35"/>
      <c r="H353" s="511">
        <f>IF(Consolidado_A!$G$133=7.6%,-(0.0165+0.076)*F353,0)</f>
        <v>0</v>
      </c>
      <c r="I353" s="35"/>
      <c r="J353" s="505"/>
      <c r="K353" s="506"/>
      <c r="L353" s="453"/>
      <c r="M353" s="513">
        <f t="shared" si="20"/>
        <v>0</v>
      </c>
      <c r="N353" s="512"/>
      <c r="O353" s="513">
        <f t="shared" si="21"/>
        <v>0</v>
      </c>
      <c r="Q353" s="509">
        <f t="shared" si="23"/>
        <v>2.5000000000000001E-3</v>
      </c>
      <c r="S353" s="513">
        <f t="shared" si="22"/>
        <v>0</v>
      </c>
    </row>
    <row r="354" spans="2:19" hidden="1">
      <c r="B354" s="468">
        <v>342</v>
      </c>
      <c r="C354" s="497"/>
      <c r="D354" s="498"/>
      <c r="E354" s="499"/>
      <c r="F354" s="500"/>
      <c r="G354" s="35"/>
      <c r="H354" s="511">
        <f>IF(Consolidado_A!$G$133=7.6%,-(0.0165+0.076)*F354,0)</f>
        <v>0</v>
      </c>
      <c r="I354" s="35"/>
      <c r="J354" s="505"/>
      <c r="K354" s="506"/>
      <c r="L354" s="453"/>
      <c r="M354" s="513">
        <f t="shared" si="20"/>
        <v>0</v>
      </c>
      <c r="N354" s="512"/>
      <c r="O354" s="513">
        <f t="shared" si="21"/>
        <v>0</v>
      </c>
      <c r="Q354" s="509">
        <f t="shared" si="23"/>
        <v>2.5000000000000001E-3</v>
      </c>
      <c r="S354" s="513">
        <f t="shared" si="22"/>
        <v>0</v>
      </c>
    </row>
    <row r="355" spans="2:19" hidden="1">
      <c r="B355" s="468">
        <v>343</v>
      </c>
      <c r="C355" s="497"/>
      <c r="D355" s="498"/>
      <c r="E355" s="499"/>
      <c r="F355" s="500"/>
      <c r="G355" s="35"/>
      <c r="H355" s="511">
        <f>IF(Consolidado_A!$G$133=7.6%,-(0.0165+0.076)*F355,0)</f>
        <v>0</v>
      </c>
      <c r="I355" s="35"/>
      <c r="J355" s="505"/>
      <c r="K355" s="506"/>
      <c r="L355" s="453"/>
      <c r="M355" s="513">
        <f t="shared" si="20"/>
        <v>0</v>
      </c>
      <c r="N355" s="512"/>
      <c r="O355" s="513">
        <f t="shared" si="21"/>
        <v>0</v>
      </c>
      <c r="Q355" s="509">
        <f t="shared" si="23"/>
        <v>2.5000000000000001E-3</v>
      </c>
      <c r="S355" s="513">
        <f t="shared" si="22"/>
        <v>0</v>
      </c>
    </row>
    <row r="356" spans="2:19" hidden="1">
      <c r="B356" s="468">
        <v>344</v>
      </c>
      <c r="C356" s="497"/>
      <c r="D356" s="498"/>
      <c r="E356" s="499"/>
      <c r="F356" s="500"/>
      <c r="G356" s="35"/>
      <c r="H356" s="511">
        <f>IF(Consolidado_A!$G$133=7.6%,-(0.0165+0.076)*F356,0)</f>
        <v>0</v>
      </c>
      <c r="I356" s="35"/>
      <c r="J356" s="505"/>
      <c r="K356" s="506"/>
      <c r="L356" s="453"/>
      <c r="M356" s="513">
        <f t="shared" si="20"/>
        <v>0</v>
      </c>
      <c r="N356" s="512"/>
      <c r="O356" s="513">
        <f t="shared" si="21"/>
        <v>0</v>
      </c>
      <c r="Q356" s="509">
        <f t="shared" si="23"/>
        <v>2.5000000000000001E-3</v>
      </c>
      <c r="S356" s="513">
        <f t="shared" si="22"/>
        <v>0</v>
      </c>
    </row>
    <row r="357" spans="2:19" hidden="1">
      <c r="B357" s="468">
        <v>345</v>
      </c>
      <c r="C357" s="497"/>
      <c r="D357" s="498"/>
      <c r="E357" s="499"/>
      <c r="F357" s="500"/>
      <c r="G357" s="35"/>
      <c r="H357" s="511">
        <f>IF(Consolidado_A!$G$133=7.6%,-(0.0165+0.076)*F357,0)</f>
        <v>0</v>
      </c>
      <c r="I357" s="35"/>
      <c r="J357" s="505"/>
      <c r="K357" s="506"/>
      <c r="L357" s="453"/>
      <c r="M357" s="513">
        <f t="shared" si="20"/>
        <v>0</v>
      </c>
      <c r="N357" s="512"/>
      <c r="O357" s="513">
        <f t="shared" si="21"/>
        <v>0</v>
      </c>
      <c r="Q357" s="509">
        <f t="shared" si="23"/>
        <v>2.5000000000000001E-3</v>
      </c>
      <c r="S357" s="513">
        <f t="shared" si="22"/>
        <v>0</v>
      </c>
    </row>
    <row r="358" spans="2:19" hidden="1">
      <c r="B358" s="468">
        <v>346</v>
      </c>
      <c r="C358" s="497"/>
      <c r="D358" s="498"/>
      <c r="E358" s="499"/>
      <c r="F358" s="500"/>
      <c r="G358" s="35"/>
      <c r="H358" s="511">
        <f>IF(Consolidado_A!$G$133=7.6%,-(0.0165+0.076)*F358,0)</f>
        <v>0</v>
      </c>
      <c r="I358" s="35"/>
      <c r="J358" s="505"/>
      <c r="K358" s="506"/>
      <c r="L358" s="453"/>
      <c r="M358" s="513">
        <f t="shared" si="20"/>
        <v>0</v>
      </c>
      <c r="N358" s="512"/>
      <c r="O358" s="513">
        <f t="shared" si="21"/>
        <v>0</v>
      </c>
      <c r="P358" s="453"/>
      <c r="Q358" s="509">
        <f t="shared" si="23"/>
        <v>2.5000000000000001E-3</v>
      </c>
      <c r="R358" s="453"/>
      <c r="S358" s="513">
        <f t="shared" si="22"/>
        <v>0</v>
      </c>
    </row>
    <row r="359" spans="2:19" hidden="1">
      <c r="B359" s="468">
        <v>347</v>
      </c>
      <c r="C359" s="497"/>
      <c r="D359" s="498"/>
      <c r="E359" s="499"/>
      <c r="F359" s="500"/>
      <c r="G359" s="35"/>
      <c r="H359" s="511">
        <f>IF(Consolidado_A!$G$133=7.6%,-(0.0165+0.076)*F359,0)</f>
        <v>0</v>
      </c>
      <c r="I359" s="35"/>
      <c r="J359" s="505"/>
      <c r="K359" s="506"/>
      <c r="L359" s="453"/>
      <c r="M359" s="513">
        <f t="shared" si="20"/>
        <v>0</v>
      </c>
      <c r="N359" s="512"/>
      <c r="O359" s="513">
        <f t="shared" si="21"/>
        <v>0</v>
      </c>
      <c r="P359" s="453"/>
      <c r="Q359" s="509">
        <f t="shared" si="23"/>
        <v>2.5000000000000001E-3</v>
      </c>
      <c r="R359" s="453"/>
      <c r="S359" s="513">
        <f t="shared" si="22"/>
        <v>0</v>
      </c>
    </row>
    <row r="360" spans="2:19" hidden="1">
      <c r="B360" s="468">
        <v>348</v>
      </c>
      <c r="C360" s="497"/>
      <c r="D360" s="498"/>
      <c r="E360" s="499"/>
      <c r="F360" s="500"/>
      <c r="G360" s="35"/>
      <c r="H360" s="511">
        <f>IF(Consolidado_A!$G$133=7.6%,-(0.0165+0.076)*F360,0)</f>
        <v>0</v>
      </c>
      <c r="I360" s="35"/>
      <c r="J360" s="505"/>
      <c r="K360" s="506"/>
      <c r="L360" s="453"/>
      <c r="M360" s="513">
        <f t="shared" si="20"/>
        <v>0</v>
      </c>
      <c r="N360" s="512"/>
      <c r="O360" s="513">
        <f t="shared" si="21"/>
        <v>0</v>
      </c>
      <c r="P360" s="453"/>
      <c r="Q360" s="509">
        <f t="shared" si="23"/>
        <v>2.5000000000000001E-3</v>
      </c>
      <c r="R360" s="453"/>
      <c r="S360" s="513">
        <f t="shared" si="22"/>
        <v>0</v>
      </c>
    </row>
    <row r="361" spans="2:19" hidden="1">
      <c r="B361" s="468">
        <v>349</v>
      </c>
      <c r="C361" s="497"/>
      <c r="D361" s="498"/>
      <c r="E361" s="499"/>
      <c r="F361" s="500"/>
      <c r="G361" s="35"/>
      <c r="H361" s="511">
        <f>IF(Consolidado_A!$G$133=7.6%,-(0.0165+0.076)*F361,0)</f>
        <v>0</v>
      </c>
      <c r="I361" s="35"/>
      <c r="J361" s="505"/>
      <c r="K361" s="506"/>
      <c r="L361" s="453"/>
      <c r="M361" s="513">
        <f t="shared" si="20"/>
        <v>0</v>
      </c>
      <c r="N361" s="512"/>
      <c r="O361" s="513">
        <f t="shared" si="21"/>
        <v>0</v>
      </c>
      <c r="P361" s="453"/>
      <c r="Q361" s="509">
        <f t="shared" si="23"/>
        <v>2.5000000000000001E-3</v>
      </c>
      <c r="R361" s="453"/>
      <c r="S361" s="513">
        <f t="shared" si="22"/>
        <v>0</v>
      </c>
    </row>
    <row r="362" spans="2:19" hidden="1">
      <c r="B362" s="468">
        <v>350</v>
      </c>
      <c r="C362" s="497"/>
      <c r="D362" s="498"/>
      <c r="E362" s="499"/>
      <c r="F362" s="500"/>
      <c r="G362" s="35"/>
      <c r="H362" s="511">
        <f>IF(Consolidado_A!$G$133=7.6%,-(0.0165+0.076)*F362,0)</f>
        <v>0</v>
      </c>
      <c r="I362" s="35"/>
      <c r="J362" s="505"/>
      <c r="K362" s="506"/>
      <c r="L362" s="453"/>
      <c r="M362" s="513">
        <f t="shared" si="20"/>
        <v>0</v>
      </c>
      <c r="N362" s="512"/>
      <c r="O362" s="513">
        <f t="shared" si="21"/>
        <v>0</v>
      </c>
      <c r="P362" s="453"/>
      <c r="Q362" s="509">
        <f t="shared" si="23"/>
        <v>2.5000000000000001E-3</v>
      </c>
      <c r="R362" s="453"/>
      <c r="S362" s="513">
        <f t="shared" si="22"/>
        <v>0</v>
      </c>
    </row>
    <row r="363" spans="2:19" hidden="1">
      <c r="B363" s="468">
        <v>351</v>
      </c>
      <c r="C363" s="497"/>
      <c r="D363" s="498"/>
      <c r="E363" s="499"/>
      <c r="F363" s="500"/>
      <c r="G363" s="35"/>
      <c r="H363" s="511">
        <f>IF(Consolidado_A!$G$133=7.6%,-(0.0165+0.076)*F363,0)</f>
        <v>0</v>
      </c>
      <c r="I363" s="35"/>
      <c r="J363" s="505"/>
      <c r="K363" s="506"/>
      <c r="L363" s="453"/>
      <c r="M363" s="513">
        <f t="shared" si="20"/>
        <v>0</v>
      </c>
      <c r="N363" s="512"/>
      <c r="O363" s="513">
        <f t="shared" si="21"/>
        <v>0</v>
      </c>
      <c r="P363" s="453"/>
      <c r="Q363" s="509">
        <f t="shared" si="23"/>
        <v>2.5000000000000001E-3</v>
      </c>
      <c r="R363" s="453"/>
      <c r="S363" s="513">
        <f t="shared" si="22"/>
        <v>0</v>
      </c>
    </row>
    <row r="364" spans="2:19" hidden="1">
      <c r="B364" s="468">
        <v>352</v>
      </c>
      <c r="C364" s="497"/>
      <c r="D364" s="498"/>
      <c r="E364" s="499"/>
      <c r="F364" s="500"/>
      <c r="G364" s="35"/>
      <c r="H364" s="511">
        <f>IF(Consolidado_A!$G$133=7.6%,-(0.0165+0.076)*F364,0)</f>
        <v>0</v>
      </c>
      <c r="I364" s="35"/>
      <c r="J364" s="505"/>
      <c r="K364" s="506"/>
      <c r="L364" s="453"/>
      <c r="M364" s="513">
        <f t="shared" si="20"/>
        <v>0</v>
      </c>
      <c r="N364" s="512"/>
      <c r="O364" s="513">
        <f t="shared" si="21"/>
        <v>0</v>
      </c>
      <c r="P364" s="453"/>
      <c r="Q364" s="509">
        <f t="shared" si="23"/>
        <v>2.5000000000000001E-3</v>
      </c>
      <c r="R364" s="453"/>
      <c r="S364" s="513">
        <f t="shared" si="22"/>
        <v>0</v>
      </c>
    </row>
    <row r="365" spans="2:19" hidden="1">
      <c r="B365" s="468">
        <v>353</v>
      </c>
      <c r="C365" s="497"/>
      <c r="D365" s="498"/>
      <c r="E365" s="499"/>
      <c r="F365" s="500"/>
      <c r="G365" s="35"/>
      <c r="H365" s="511">
        <f>IF(Consolidado_A!$G$133=7.6%,-(0.0165+0.076)*F365,0)</f>
        <v>0</v>
      </c>
      <c r="I365" s="35"/>
      <c r="J365" s="505"/>
      <c r="K365" s="506"/>
      <c r="L365" s="453"/>
      <c r="M365" s="513">
        <f t="shared" si="20"/>
        <v>0</v>
      </c>
      <c r="N365" s="512"/>
      <c r="O365" s="513">
        <f t="shared" si="21"/>
        <v>0</v>
      </c>
      <c r="P365" s="453"/>
      <c r="Q365" s="509">
        <f t="shared" si="23"/>
        <v>2.5000000000000001E-3</v>
      </c>
      <c r="R365" s="453"/>
      <c r="S365" s="513">
        <f t="shared" si="22"/>
        <v>0</v>
      </c>
    </row>
    <row r="366" spans="2:19" hidden="1">
      <c r="B366" s="468">
        <v>354</v>
      </c>
      <c r="C366" s="497"/>
      <c r="D366" s="498"/>
      <c r="E366" s="499"/>
      <c r="F366" s="500"/>
      <c r="G366" s="35"/>
      <c r="H366" s="511">
        <f>IF(Consolidado_A!$G$133=7.6%,-(0.0165+0.076)*F366,0)</f>
        <v>0</v>
      </c>
      <c r="I366" s="35"/>
      <c r="J366" s="505"/>
      <c r="K366" s="506"/>
      <c r="L366" s="453"/>
      <c r="M366" s="513">
        <f t="shared" si="20"/>
        <v>0</v>
      </c>
      <c r="N366" s="512"/>
      <c r="O366" s="513">
        <f t="shared" si="21"/>
        <v>0</v>
      </c>
      <c r="P366" s="453"/>
      <c r="Q366" s="509">
        <f t="shared" si="23"/>
        <v>2.5000000000000001E-3</v>
      </c>
      <c r="R366" s="453"/>
      <c r="S366" s="513">
        <f t="shared" si="22"/>
        <v>0</v>
      </c>
    </row>
    <row r="367" spans="2:19" hidden="1">
      <c r="B367" s="468">
        <v>355</v>
      </c>
      <c r="C367" s="497"/>
      <c r="D367" s="498"/>
      <c r="E367" s="499"/>
      <c r="F367" s="500"/>
      <c r="G367" s="35"/>
      <c r="H367" s="511">
        <f>IF(Consolidado_A!$G$133=7.6%,-(0.0165+0.076)*F367,0)</f>
        <v>0</v>
      </c>
      <c r="I367" s="35"/>
      <c r="J367" s="505"/>
      <c r="K367" s="506"/>
      <c r="L367" s="453"/>
      <c r="M367" s="513">
        <f t="shared" si="20"/>
        <v>0</v>
      </c>
      <c r="N367" s="512"/>
      <c r="O367" s="513">
        <f t="shared" si="21"/>
        <v>0</v>
      </c>
      <c r="P367" s="453"/>
      <c r="Q367" s="509">
        <f t="shared" si="23"/>
        <v>2.5000000000000001E-3</v>
      </c>
      <c r="R367" s="453"/>
      <c r="S367" s="513">
        <f t="shared" si="22"/>
        <v>0</v>
      </c>
    </row>
    <row r="368" spans="2:19" hidden="1">
      <c r="B368" s="468">
        <v>356</v>
      </c>
      <c r="C368" s="497"/>
      <c r="D368" s="498"/>
      <c r="E368" s="499"/>
      <c r="F368" s="500"/>
      <c r="G368" s="35"/>
      <c r="H368" s="511">
        <f>IF(Consolidado_A!$G$133=7.6%,-(0.0165+0.076)*F368,0)</f>
        <v>0</v>
      </c>
      <c r="I368" s="35"/>
      <c r="J368" s="505"/>
      <c r="K368" s="506"/>
      <c r="L368" s="453"/>
      <c r="M368" s="513">
        <f t="shared" si="20"/>
        <v>0</v>
      </c>
      <c r="N368" s="512"/>
      <c r="O368" s="513">
        <f t="shared" si="21"/>
        <v>0</v>
      </c>
      <c r="P368" s="453"/>
      <c r="Q368" s="509">
        <f t="shared" si="23"/>
        <v>2.5000000000000001E-3</v>
      </c>
      <c r="R368" s="453"/>
      <c r="S368" s="513">
        <f t="shared" si="22"/>
        <v>0</v>
      </c>
    </row>
    <row r="369" spans="2:19" hidden="1">
      <c r="B369" s="468">
        <v>357</v>
      </c>
      <c r="C369" s="497"/>
      <c r="D369" s="498"/>
      <c r="E369" s="499"/>
      <c r="F369" s="500"/>
      <c r="G369" s="35"/>
      <c r="H369" s="511">
        <f>IF(Consolidado_A!$G$133=7.6%,-(0.0165+0.076)*F369,0)</f>
        <v>0</v>
      </c>
      <c r="I369" s="35"/>
      <c r="J369" s="505"/>
      <c r="K369" s="506"/>
      <c r="L369" s="453"/>
      <c r="M369" s="513">
        <f t="shared" si="20"/>
        <v>0</v>
      </c>
      <c r="N369" s="512"/>
      <c r="O369" s="513">
        <f t="shared" si="21"/>
        <v>0</v>
      </c>
      <c r="Q369" s="509">
        <f t="shared" si="23"/>
        <v>2.5000000000000001E-3</v>
      </c>
      <c r="S369" s="513">
        <f t="shared" si="22"/>
        <v>0</v>
      </c>
    </row>
    <row r="370" spans="2:19" hidden="1">
      <c r="B370" s="468">
        <v>358</v>
      </c>
      <c r="C370" s="497"/>
      <c r="D370" s="498"/>
      <c r="E370" s="499"/>
      <c r="F370" s="500"/>
      <c r="G370" s="35"/>
      <c r="H370" s="511">
        <f>IF(Consolidado_A!$G$133=7.6%,-(0.0165+0.076)*F370,0)</f>
        <v>0</v>
      </c>
      <c r="I370" s="35"/>
      <c r="J370" s="505"/>
      <c r="K370" s="506"/>
      <c r="L370" s="453"/>
      <c r="M370" s="513">
        <f t="shared" si="20"/>
        <v>0</v>
      </c>
      <c r="N370" s="512"/>
      <c r="O370" s="513">
        <f t="shared" si="21"/>
        <v>0</v>
      </c>
      <c r="Q370" s="509">
        <f t="shared" si="23"/>
        <v>2.5000000000000001E-3</v>
      </c>
      <c r="S370" s="513">
        <f t="shared" si="22"/>
        <v>0</v>
      </c>
    </row>
    <row r="371" spans="2:19" hidden="1">
      <c r="B371" s="468">
        <v>359</v>
      </c>
      <c r="C371" s="497"/>
      <c r="D371" s="498"/>
      <c r="E371" s="499"/>
      <c r="F371" s="500"/>
      <c r="G371" s="35"/>
      <c r="H371" s="511">
        <f>IF(Consolidado_A!$G$133=7.6%,-(0.0165+0.076)*F371,0)</f>
        <v>0</v>
      </c>
      <c r="I371" s="35"/>
      <c r="J371" s="505"/>
      <c r="K371" s="506"/>
      <c r="L371" s="453"/>
      <c r="M371" s="513">
        <f t="shared" si="20"/>
        <v>0</v>
      </c>
      <c r="N371" s="512"/>
      <c r="O371" s="513">
        <f t="shared" si="21"/>
        <v>0</v>
      </c>
      <c r="Q371" s="509">
        <f t="shared" si="23"/>
        <v>2.5000000000000001E-3</v>
      </c>
      <c r="S371" s="513">
        <f t="shared" si="22"/>
        <v>0</v>
      </c>
    </row>
    <row r="372" spans="2:19" hidden="1">
      <c r="B372" s="468">
        <v>360</v>
      </c>
      <c r="C372" s="497"/>
      <c r="D372" s="498"/>
      <c r="E372" s="499"/>
      <c r="F372" s="500"/>
      <c r="G372" s="35"/>
      <c r="H372" s="511">
        <f>IF(Consolidado_A!$G$133=7.6%,-(0.0165+0.076)*F372,0)</f>
        <v>0</v>
      </c>
      <c r="I372" s="35"/>
      <c r="J372" s="505"/>
      <c r="K372" s="506"/>
      <c r="L372" s="453"/>
      <c r="M372" s="513">
        <f t="shared" si="20"/>
        <v>0</v>
      </c>
      <c r="N372" s="512"/>
      <c r="O372" s="513">
        <f t="shared" si="21"/>
        <v>0</v>
      </c>
      <c r="Q372" s="509">
        <f t="shared" si="23"/>
        <v>2.5000000000000001E-3</v>
      </c>
      <c r="S372" s="513">
        <f t="shared" si="22"/>
        <v>0</v>
      </c>
    </row>
    <row r="373" spans="2:19" hidden="1">
      <c r="B373" s="468">
        <v>361</v>
      </c>
      <c r="C373" s="497"/>
      <c r="D373" s="498"/>
      <c r="E373" s="499"/>
      <c r="F373" s="500"/>
      <c r="G373" s="35"/>
      <c r="H373" s="511">
        <f>IF(Consolidado_A!$G$133=7.6%,-(0.0165+0.076)*F373,0)</f>
        <v>0</v>
      </c>
      <c r="I373" s="35"/>
      <c r="J373" s="505"/>
      <c r="K373" s="506"/>
      <c r="L373" s="453"/>
      <c r="M373" s="513">
        <f t="shared" si="20"/>
        <v>0</v>
      </c>
      <c r="N373" s="512"/>
      <c r="O373" s="513">
        <f t="shared" si="21"/>
        <v>0</v>
      </c>
      <c r="Q373" s="509">
        <f t="shared" si="23"/>
        <v>2.5000000000000001E-3</v>
      </c>
      <c r="S373" s="513">
        <f t="shared" si="22"/>
        <v>0</v>
      </c>
    </row>
    <row r="374" spans="2:19" hidden="1">
      <c r="B374" s="468">
        <v>362</v>
      </c>
      <c r="C374" s="497"/>
      <c r="D374" s="498"/>
      <c r="E374" s="499"/>
      <c r="F374" s="500"/>
      <c r="G374" s="35"/>
      <c r="H374" s="511">
        <f>IF(Consolidado_A!$G$133=7.6%,-(0.0165+0.076)*F374,0)</f>
        <v>0</v>
      </c>
      <c r="I374" s="35"/>
      <c r="J374" s="505"/>
      <c r="K374" s="506"/>
      <c r="L374" s="453"/>
      <c r="M374" s="513">
        <f t="shared" si="20"/>
        <v>0</v>
      </c>
      <c r="N374" s="512"/>
      <c r="O374" s="513">
        <f t="shared" si="21"/>
        <v>0</v>
      </c>
      <c r="Q374" s="509">
        <f t="shared" si="23"/>
        <v>2.5000000000000001E-3</v>
      </c>
      <c r="S374" s="513">
        <f t="shared" si="22"/>
        <v>0</v>
      </c>
    </row>
    <row r="375" spans="2:19" hidden="1">
      <c r="B375" s="468">
        <v>363</v>
      </c>
      <c r="C375" s="497"/>
      <c r="D375" s="498"/>
      <c r="E375" s="499"/>
      <c r="F375" s="500"/>
      <c r="G375" s="35"/>
      <c r="H375" s="511">
        <f>IF(Consolidado_A!$G$133=7.6%,-(0.0165+0.076)*F375,0)</f>
        <v>0</v>
      </c>
      <c r="I375" s="35"/>
      <c r="J375" s="505"/>
      <c r="K375" s="506"/>
      <c r="L375" s="453"/>
      <c r="M375" s="513">
        <f t="shared" si="20"/>
        <v>0</v>
      </c>
      <c r="N375" s="512"/>
      <c r="O375" s="513">
        <f t="shared" si="21"/>
        <v>0</v>
      </c>
      <c r="Q375" s="509">
        <f t="shared" si="23"/>
        <v>2.5000000000000001E-3</v>
      </c>
      <c r="S375" s="513">
        <f t="shared" si="22"/>
        <v>0</v>
      </c>
    </row>
    <row r="376" spans="2:19" hidden="1">
      <c r="B376" s="468">
        <v>364</v>
      </c>
      <c r="C376" s="497"/>
      <c r="D376" s="498"/>
      <c r="E376" s="499"/>
      <c r="F376" s="500"/>
      <c r="G376" s="35"/>
      <c r="H376" s="511">
        <f>IF(Consolidado_A!$G$133=7.6%,-(0.0165+0.076)*F376,0)</f>
        <v>0</v>
      </c>
      <c r="I376" s="35"/>
      <c r="J376" s="505"/>
      <c r="K376" s="506"/>
      <c r="L376" s="453"/>
      <c r="M376" s="513">
        <f t="shared" si="20"/>
        <v>0</v>
      </c>
      <c r="N376" s="512"/>
      <c r="O376" s="513">
        <f t="shared" si="21"/>
        <v>0</v>
      </c>
      <c r="Q376" s="509">
        <f t="shared" si="23"/>
        <v>2.5000000000000001E-3</v>
      </c>
      <c r="S376" s="513">
        <f t="shared" si="22"/>
        <v>0</v>
      </c>
    </row>
    <row r="377" spans="2:19" hidden="1">
      <c r="B377" s="468">
        <v>365</v>
      </c>
      <c r="C377" s="497"/>
      <c r="D377" s="498"/>
      <c r="E377" s="499"/>
      <c r="F377" s="500"/>
      <c r="G377" s="35"/>
      <c r="H377" s="511">
        <f>IF(Consolidado_A!$G$133=7.6%,-(0.0165+0.076)*F377,0)</f>
        <v>0</v>
      </c>
      <c r="I377" s="35"/>
      <c r="J377" s="505"/>
      <c r="K377" s="506"/>
      <c r="L377" s="453"/>
      <c r="M377" s="513">
        <f t="shared" si="20"/>
        <v>0</v>
      </c>
      <c r="N377" s="512"/>
      <c r="O377" s="513">
        <f t="shared" si="21"/>
        <v>0</v>
      </c>
      <c r="Q377" s="509">
        <f t="shared" si="23"/>
        <v>2.5000000000000001E-3</v>
      </c>
      <c r="S377" s="513">
        <f t="shared" si="22"/>
        <v>0</v>
      </c>
    </row>
    <row r="378" spans="2:19" hidden="1">
      <c r="B378" s="468">
        <v>366</v>
      </c>
      <c r="C378" s="497"/>
      <c r="D378" s="498"/>
      <c r="E378" s="499"/>
      <c r="F378" s="500"/>
      <c r="G378" s="35"/>
      <c r="H378" s="511">
        <f>IF(Consolidado_A!$G$133=7.6%,-(0.0165+0.076)*F378,0)</f>
        <v>0</v>
      </c>
      <c r="I378" s="35"/>
      <c r="J378" s="505"/>
      <c r="K378" s="506"/>
      <c r="L378" s="453"/>
      <c r="M378" s="513">
        <f t="shared" si="20"/>
        <v>0</v>
      </c>
      <c r="N378" s="512"/>
      <c r="O378" s="513">
        <f t="shared" si="21"/>
        <v>0</v>
      </c>
      <c r="Q378" s="509">
        <f t="shared" si="23"/>
        <v>2.5000000000000001E-3</v>
      </c>
      <c r="S378" s="513">
        <f t="shared" si="22"/>
        <v>0</v>
      </c>
    </row>
    <row r="379" spans="2:19" hidden="1">
      <c r="B379" s="468">
        <v>367</v>
      </c>
      <c r="C379" s="497"/>
      <c r="D379" s="498"/>
      <c r="E379" s="499"/>
      <c r="F379" s="500"/>
      <c r="G379" s="35"/>
      <c r="H379" s="511">
        <f>IF(Consolidado_A!$G$133=7.6%,-(0.0165+0.076)*F379,0)</f>
        <v>0</v>
      </c>
      <c r="I379" s="35"/>
      <c r="J379" s="505"/>
      <c r="K379" s="506"/>
      <c r="L379" s="453"/>
      <c r="M379" s="513">
        <f t="shared" si="20"/>
        <v>0</v>
      </c>
      <c r="N379" s="512"/>
      <c r="O379" s="513">
        <f t="shared" si="21"/>
        <v>0</v>
      </c>
      <c r="Q379" s="509">
        <f t="shared" si="23"/>
        <v>2.5000000000000001E-3</v>
      </c>
      <c r="S379" s="513">
        <f t="shared" si="22"/>
        <v>0</v>
      </c>
    </row>
    <row r="380" spans="2:19" hidden="1">
      <c r="B380" s="468">
        <v>368</v>
      </c>
      <c r="C380" s="497"/>
      <c r="D380" s="498"/>
      <c r="E380" s="499"/>
      <c r="F380" s="500"/>
      <c r="G380" s="35"/>
      <c r="H380" s="511">
        <f>IF(Consolidado_A!$G$133=7.6%,-(0.0165+0.076)*F380,0)</f>
        <v>0</v>
      </c>
      <c r="I380" s="35"/>
      <c r="J380" s="505"/>
      <c r="K380" s="506"/>
      <c r="L380" s="453"/>
      <c r="M380" s="513">
        <f t="shared" si="20"/>
        <v>0</v>
      </c>
      <c r="N380" s="512"/>
      <c r="O380" s="513">
        <f t="shared" si="21"/>
        <v>0</v>
      </c>
      <c r="Q380" s="509">
        <f t="shared" si="23"/>
        <v>2.5000000000000001E-3</v>
      </c>
      <c r="S380" s="513">
        <f t="shared" si="22"/>
        <v>0</v>
      </c>
    </row>
    <row r="381" spans="2:19" hidden="1">
      <c r="B381" s="468">
        <v>369</v>
      </c>
      <c r="C381" s="497"/>
      <c r="D381" s="498"/>
      <c r="E381" s="499"/>
      <c r="F381" s="500"/>
      <c r="G381" s="35"/>
      <c r="H381" s="511">
        <f>IF(Consolidado_A!$G$133=7.6%,-(0.0165+0.076)*F381,0)</f>
        <v>0</v>
      </c>
      <c r="I381" s="35"/>
      <c r="J381" s="505"/>
      <c r="K381" s="506"/>
      <c r="L381" s="453"/>
      <c r="M381" s="513">
        <f t="shared" si="20"/>
        <v>0</v>
      </c>
      <c r="N381" s="512"/>
      <c r="O381" s="513">
        <f t="shared" si="21"/>
        <v>0</v>
      </c>
      <c r="Q381" s="509">
        <f t="shared" si="23"/>
        <v>2.5000000000000001E-3</v>
      </c>
      <c r="S381" s="513">
        <f t="shared" si="22"/>
        <v>0</v>
      </c>
    </row>
    <row r="382" spans="2:19" hidden="1">
      <c r="B382" s="468">
        <v>370</v>
      </c>
      <c r="C382" s="497"/>
      <c r="D382" s="498"/>
      <c r="E382" s="499"/>
      <c r="F382" s="500"/>
      <c r="G382" s="35"/>
      <c r="H382" s="511">
        <f>IF(Consolidado_A!$G$133=7.6%,-(0.0165+0.076)*F382,0)</f>
        <v>0</v>
      </c>
      <c r="I382" s="35"/>
      <c r="J382" s="505"/>
      <c r="K382" s="506"/>
      <c r="L382" s="453"/>
      <c r="M382" s="513">
        <f t="shared" si="20"/>
        <v>0</v>
      </c>
      <c r="N382" s="512"/>
      <c r="O382" s="513">
        <f t="shared" si="21"/>
        <v>0</v>
      </c>
      <c r="P382" s="453"/>
      <c r="Q382" s="509">
        <f t="shared" si="23"/>
        <v>2.5000000000000001E-3</v>
      </c>
      <c r="R382" s="453"/>
      <c r="S382" s="513">
        <f t="shared" si="22"/>
        <v>0</v>
      </c>
    </row>
    <row r="383" spans="2:19" hidden="1">
      <c r="B383" s="468">
        <v>371</v>
      </c>
      <c r="C383" s="497"/>
      <c r="D383" s="498"/>
      <c r="E383" s="499"/>
      <c r="F383" s="500"/>
      <c r="G383" s="35"/>
      <c r="H383" s="511">
        <f>IF(Consolidado_A!$G$133=7.6%,-(0.0165+0.076)*F383,0)</f>
        <v>0</v>
      </c>
      <c r="I383" s="35"/>
      <c r="J383" s="505"/>
      <c r="K383" s="506"/>
      <c r="L383" s="453"/>
      <c r="M383" s="513">
        <f t="shared" si="20"/>
        <v>0</v>
      </c>
      <c r="N383" s="512"/>
      <c r="O383" s="513">
        <f t="shared" si="21"/>
        <v>0</v>
      </c>
      <c r="P383" s="453"/>
      <c r="Q383" s="509">
        <f t="shared" si="23"/>
        <v>2.5000000000000001E-3</v>
      </c>
      <c r="R383" s="453"/>
      <c r="S383" s="513">
        <f t="shared" si="22"/>
        <v>0</v>
      </c>
    </row>
    <row r="384" spans="2:19" hidden="1">
      <c r="B384" s="468">
        <v>372</v>
      </c>
      <c r="C384" s="497"/>
      <c r="D384" s="498"/>
      <c r="E384" s="499"/>
      <c r="F384" s="500"/>
      <c r="G384" s="35"/>
      <c r="H384" s="511">
        <f>IF(Consolidado_A!$G$133=7.6%,-(0.0165+0.076)*F384,0)</f>
        <v>0</v>
      </c>
      <c r="I384" s="35"/>
      <c r="J384" s="505"/>
      <c r="K384" s="506"/>
      <c r="L384" s="453"/>
      <c r="M384" s="513">
        <f t="shared" si="20"/>
        <v>0</v>
      </c>
      <c r="N384" s="512"/>
      <c r="O384" s="513">
        <f t="shared" si="21"/>
        <v>0</v>
      </c>
      <c r="P384" s="453"/>
      <c r="Q384" s="509">
        <f t="shared" si="23"/>
        <v>2.5000000000000001E-3</v>
      </c>
      <c r="R384" s="453"/>
      <c r="S384" s="513">
        <f t="shared" si="22"/>
        <v>0</v>
      </c>
    </row>
    <row r="385" spans="2:19" hidden="1">
      <c r="B385" s="468">
        <v>373</v>
      </c>
      <c r="C385" s="497"/>
      <c r="D385" s="498"/>
      <c r="E385" s="499"/>
      <c r="F385" s="500"/>
      <c r="G385" s="35"/>
      <c r="H385" s="511">
        <f>IF(Consolidado_A!$G$133=7.6%,-(0.0165+0.076)*F385,0)</f>
        <v>0</v>
      </c>
      <c r="I385" s="35"/>
      <c r="J385" s="505"/>
      <c r="K385" s="506"/>
      <c r="L385" s="453"/>
      <c r="M385" s="513">
        <f t="shared" si="20"/>
        <v>0</v>
      </c>
      <c r="N385" s="512"/>
      <c r="O385" s="513">
        <f t="shared" si="21"/>
        <v>0</v>
      </c>
      <c r="P385" s="453"/>
      <c r="Q385" s="509">
        <f t="shared" si="23"/>
        <v>2.5000000000000001E-3</v>
      </c>
      <c r="R385" s="453"/>
      <c r="S385" s="513">
        <f t="shared" si="22"/>
        <v>0</v>
      </c>
    </row>
    <row r="386" spans="2:19" hidden="1">
      <c r="B386" s="468">
        <v>374</v>
      </c>
      <c r="C386" s="497"/>
      <c r="D386" s="498"/>
      <c r="E386" s="499"/>
      <c r="F386" s="500"/>
      <c r="G386" s="35"/>
      <c r="H386" s="511">
        <f>IF(Consolidado_A!$G$133=7.6%,-(0.0165+0.076)*F386,0)</f>
        <v>0</v>
      </c>
      <c r="I386" s="35"/>
      <c r="J386" s="505"/>
      <c r="K386" s="506"/>
      <c r="L386" s="453"/>
      <c r="M386" s="513">
        <f t="shared" si="20"/>
        <v>0</v>
      </c>
      <c r="N386" s="512"/>
      <c r="O386" s="513">
        <f t="shared" si="21"/>
        <v>0</v>
      </c>
      <c r="P386" s="453"/>
      <c r="Q386" s="509">
        <f t="shared" si="23"/>
        <v>2.5000000000000001E-3</v>
      </c>
      <c r="R386" s="453"/>
      <c r="S386" s="513">
        <f t="shared" si="22"/>
        <v>0</v>
      </c>
    </row>
    <row r="387" spans="2:19" hidden="1">
      <c r="B387" s="468">
        <v>375</v>
      </c>
      <c r="C387" s="497"/>
      <c r="D387" s="498"/>
      <c r="E387" s="499"/>
      <c r="F387" s="500"/>
      <c r="G387" s="35"/>
      <c r="H387" s="511">
        <f>IF(Consolidado_A!$G$133=7.6%,-(0.0165+0.076)*F387,0)</f>
        <v>0</v>
      </c>
      <c r="I387" s="35"/>
      <c r="J387" s="505"/>
      <c r="K387" s="506"/>
      <c r="L387" s="453"/>
      <c r="M387" s="513">
        <f t="shared" si="20"/>
        <v>0</v>
      </c>
      <c r="N387" s="512"/>
      <c r="O387" s="513">
        <f t="shared" si="21"/>
        <v>0</v>
      </c>
      <c r="P387" s="453"/>
      <c r="Q387" s="509">
        <f t="shared" si="23"/>
        <v>2.5000000000000001E-3</v>
      </c>
      <c r="R387" s="453"/>
      <c r="S387" s="513">
        <f t="shared" si="22"/>
        <v>0</v>
      </c>
    </row>
    <row r="388" spans="2:19" hidden="1">
      <c r="B388" s="468">
        <v>376</v>
      </c>
      <c r="C388" s="497"/>
      <c r="D388" s="498"/>
      <c r="E388" s="499"/>
      <c r="F388" s="500"/>
      <c r="G388" s="35"/>
      <c r="H388" s="511">
        <f>IF(Consolidado_A!$G$133=7.6%,-(0.0165+0.076)*F388,0)</f>
        <v>0</v>
      </c>
      <c r="I388" s="35"/>
      <c r="J388" s="505"/>
      <c r="K388" s="506"/>
      <c r="L388" s="453"/>
      <c r="M388" s="513">
        <f t="shared" si="20"/>
        <v>0</v>
      </c>
      <c r="N388" s="512"/>
      <c r="O388" s="513">
        <f t="shared" si="21"/>
        <v>0</v>
      </c>
      <c r="P388" s="453"/>
      <c r="Q388" s="509">
        <f t="shared" si="23"/>
        <v>2.5000000000000001E-3</v>
      </c>
      <c r="R388" s="453"/>
      <c r="S388" s="513">
        <f t="shared" si="22"/>
        <v>0</v>
      </c>
    </row>
    <row r="389" spans="2:19" hidden="1">
      <c r="B389" s="468">
        <v>377</v>
      </c>
      <c r="C389" s="497"/>
      <c r="D389" s="498"/>
      <c r="E389" s="499"/>
      <c r="F389" s="500"/>
      <c r="G389" s="35"/>
      <c r="H389" s="511">
        <f>IF(Consolidado_A!$G$133=7.6%,-(0.0165+0.076)*F389,0)</f>
        <v>0</v>
      </c>
      <c r="I389" s="35"/>
      <c r="J389" s="505"/>
      <c r="K389" s="506"/>
      <c r="L389" s="453"/>
      <c r="M389" s="513">
        <f t="shared" si="20"/>
        <v>0</v>
      </c>
      <c r="N389" s="512"/>
      <c r="O389" s="513">
        <f t="shared" si="21"/>
        <v>0</v>
      </c>
      <c r="P389" s="453"/>
      <c r="Q389" s="509">
        <f t="shared" si="23"/>
        <v>2.5000000000000001E-3</v>
      </c>
      <c r="R389" s="453"/>
      <c r="S389" s="513">
        <f t="shared" si="22"/>
        <v>0</v>
      </c>
    </row>
    <row r="390" spans="2:19" hidden="1">
      <c r="B390" s="468">
        <v>378</v>
      </c>
      <c r="C390" s="497"/>
      <c r="D390" s="498"/>
      <c r="E390" s="499"/>
      <c r="F390" s="500"/>
      <c r="G390" s="35"/>
      <c r="H390" s="511">
        <f>IF(Consolidado_A!$G$133=7.6%,-(0.0165+0.076)*F390,0)</f>
        <v>0</v>
      </c>
      <c r="I390" s="35"/>
      <c r="J390" s="505"/>
      <c r="K390" s="506"/>
      <c r="L390" s="453"/>
      <c r="M390" s="513">
        <f t="shared" si="20"/>
        <v>0</v>
      </c>
      <c r="N390" s="512"/>
      <c r="O390" s="513">
        <f t="shared" si="21"/>
        <v>0</v>
      </c>
      <c r="P390" s="453"/>
      <c r="Q390" s="509">
        <f t="shared" si="23"/>
        <v>2.5000000000000001E-3</v>
      </c>
      <c r="R390" s="453"/>
      <c r="S390" s="513">
        <f t="shared" si="22"/>
        <v>0</v>
      </c>
    </row>
    <row r="391" spans="2:19" hidden="1">
      <c r="B391" s="468">
        <v>379</v>
      </c>
      <c r="C391" s="497"/>
      <c r="D391" s="498"/>
      <c r="E391" s="499"/>
      <c r="F391" s="500"/>
      <c r="G391" s="35"/>
      <c r="H391" s="511">
        <f>IF(Consolidado_A!$G$133=7.6%,-(0.0165+0.076)*F391,0)</f>
        <v>0</v>
      </c>
      <c r="I391" s="35"/>
      <c r="J391" s="505"/>
      <c r="K391" s="506"/>
      <c r="L391" s="453"/>
      <c r="M391" s="513">
        <f t="shared" si="20"/>
        <v>0</v>
      </c>
      <c r="N391" s="512"/>
      <c r="O391" s="513">
        <f t="shared" si="21"/>
        <v>0</v>
      </c>
      <c r="P391" s="453"/>
      <c r="Q391" s="509">
        <f t="shared" si="23"/>
        <v>2.5000000000000001E-3</v>
      </c>
      <c r="R391" s="453"/>
      <c r="S391" s="513">
        <f t="shared" si="22"/>
        <v>0</v>
      </c>
    </row>
    <row r="392" spans="2:19" hidden="1">
      <c r="B392" s="468">
        <v>380</v>
      </c>
      <c r="C392" s="497"/>
      <c r="D392" s="498"/>
      <c r="E392" s="499"/>
      <c r="F392" s="500"/>
      <c r="G392" s="35"/>
      <c r="H392" s="511">
        <f>IF(Consolidado_A!$G$133=7.6%,-(0.0165+0.076)*F392,0)</f>
        <v>0</v>
      </c>
      <c r="I392" s="35"/>
      <c r="J392" s="505"/>
      <c r="K392" s="506"/>
      <c r="L392" s="453"/>
      <c r="M392" s="513">
        <f t="shared" si="20"/>
        <v>0</v>
      </c>
      <c r="N392" s="512"/>
      <c r="O392" s="513">
        <f t="shared" si="21"/>
        <v>0</v>
      </c>
      <c r="P392" s="453"/>
      <c r="Q392" s="509">
        <f t="shared" si="23"/>
        <v>2.5000000000000001E-3</v>
      </c>
      <c r="R392" s="453"/>
      <c r="S392" s="513">
        <f t="shared" si="22"/>
        <v>0</v>
      </c>
    </row>
    <row r="393" spans="2:19" hidden="1">
      <c r="B393" s="468">
        <v>381</v>
      </c>
      <c r="C393" s="497"/>
      <c r="D393" s="498"/>
      <c r="E393" s="499"/>
      <c r="F393" s="500"/>
      <c r="G393" s="35"/>
      <c r="H393" s="511">
        <f>IF(Consolidado_A!$G$133=7.6%,-(0.0165+0.076)*F393,0)</f>
        <v>0</v>
      </c>
      <c r="I393" s="35"/>
      <c r="J393" s="505"/>
      <c r="K393" s="506"/>
      <c r="L393" s="453"/>
      <c r="M393" s="513">
        <f t="shared" si="20"/>
        <v>0</v>
      </c>
      <c r="N393" s="512"/>
      <c r="O393" s="513">
        <f t="shared" si="21"/>
        <v>0</v>
      </c>
      <c r="Q393" s="509">
        <f t="shared" si="23"/>
        <v>2.5000000000000001E-3</v>
      </c>
      <c r="S393" s="513">
        <f t="shared" si="22"/>
        <v>0</v>
      </c>
    </row>
    <row r="394" spans="2:19" hidden="1">
      <c r="B394" s="468">
        <v>382</v>
      </c>
      <c r="C394" s="497"/>
      <c r="D394" s="498"/>
      <c r="E394" s="499"/>
      <c r="F394" s="500"/>
      <c r="G394" s="35"/>
      <c r="H394" s="511">
        <f>IF(Consolidado_A!$G$133=7.6%,-(0.0165+0.076)*F394,0)</f>
        <v>0</v>
      </c>
      <c r="I394" s="35"/>
      <c r="J394" s="505"/>
      <c r="K394" s="506"/>
      <c r="L394" s="453"/>
      <c r="M394" s="513">
        <f t="shared" si="20"/>
        <v>0</v>
      </c>
      <c r="N394" s="512"/>
      <c r="O394" s="513">
        <f t="shared" si="21"/>
        <v>0</v>
      </c>
      <c r="Q394" s="509">
        <f t="shared" si="23"/>
        <v>2.5000000000000001E-3</v>
      </c>
      <c r="S394" s="513">
        <f t="shared" si="22"/>
        <v>0</v>
      </c>
    </row>
    <row r="395" spans="2:19" hidden="1">
      <c r="B395" s="468">
        <v>383</v>
      </c>
      <c r="C395" s="497"/>
      <c r="D395" s="498"/>
      <c r="E395" s="499"/>
      <c r="F395" s="500"/>
      <c r="G395" s="35"/>
      <c r="H395" s="511">
        <f>IF(Consolidado_A!$G$133=7.6%,-(0.0165+0.076)*F395,0)</f>
        <v>0</v>
      </c>
      <c r="I395" s="35"/>
      <c r="J395" s="505"/>
      <c r="K395" s="506"/>
      <c r="L395" s="453"/>
      <c r="M395" s="513">
        <f t="shared" si="20"/>
        <v>0</v>
      </c>
      <c r="N395" s="512"/>
      <c r="O395" s="513">
        <f t="shared" si="21"/>
        <v>0</v>
      </c>
      <c r="Q395" s="509">
        <f t="shared" si="23"/>
        <v>2.5000000000000001E-3</v>
      </c>
      <c r="S395" s="513">
        <f t="shared" si="22"/>
        <v>0</v>
      </c>
    </row>
    <row r="396" spans="2:19" hidden="1">
      <c r="B396" s="468">
        <v>384</v>
      </c>
      <c r="C396" s="497"/>
      <c r="D396" s="498"/>
      <c r="E396" s="499"/>
      <c r="F396" s="500"/>
      <c r="G396" s="35"/>
      <c r="H396" s="511">
        <f>IF(Consolidado_A!$G$133=7.6%,-(0.0165+0.076)*F396,0)</f>
        <v>0</v>
      </c>
      <c r="I396" s="35"/>
      <c r="J396" s="505"/>
      <c r="K396" s="506"/>
      <c r="L396" s="453"/>
      <c r="M396" s="513">
        <f t="shared" si="20"/>
        <v>0</v>
      </c>
      <c r="N396" s="512"/>
      <c r="O396" s="513">
        <f t="shared" si="21"/>
        <v>0</v>
      </c>
      <c r="Q396" s="509">
        <f t="shared" si="23"/>
        <v>2.5000000000000001E-3</v>
      </c>
      <c r="S396" s="513">
        <f t="shared" si="22"/>
        <v>0</v>
      </c>
    </row>
    <row r="397" spans="2:19" hidden="1">
      <c r="B397" s="468">
        <v>385</v>
      </c>
      <c r="C397" s="497"/>
      <c r="D397" s="498"/>
      <c r="E397" s="499"/>
      <c r="F397" s="500"/>
      <c r="G397" s="35"/>
      <c r="H397" s="511">
        <f>IF(Consolidado_A!$G$133=7.6%,-(0.0165+0.076)*F397,0)</f>
        <v>0</v>
      </c>
      <c r="I397" s="35"/>
      <c r="J397" s="505"/>
      <c r="K397" s="506"/>
      <c r="L397" s="453"/>
      <c r="M397" s="513">
        <f t="shared" ref="M397:M462" si="24">IF(E397&gt;0,(F397+H397)-J397,0)</f>
        <v>0</v>
      </c>
      <c r="N397" s="512"/>
      <c r="O397" s="513">
        <f t="shared" ref="O397:O462" si="25">IF(E397=0,0,(M397/K397)*E397)</f>
        <v>0</v>
      </c>
      <c r="Q397" s="509">
        <f t="shared" si="23"/>
        <v>2.5000000000000001E-3</v>
      </c>
      <c r="S397" s="513">
        <f t="shared" ref="S397:S462" si="26">E397*(M397*Q397)</f>
        <v>0</v>
      </c>
    </row>
    <row r="398" spans="2:19" hidden="1">
      <c r="B398" s="468">
        <v>386</v>
      </c>
      <c r="C398" s="497"/>
      <c r="D398" s="498"/>
      <c r="E398" s="499"/>
      <c r="F398" s="500"/>
      <c r="G398" s="35"/>
      <c r="H398" s="511">
        <f>IF(Consolidado_A!$G$133=7.6%,-(0.0165+0.076)*F398,0)</f>
        <v>0</v>
      </c>
      <c r="I398" s="35"/>
      <c r="J398" s="505"/>
      <c r="K398" s="506"/>
      <c r="L398" s="453"/>
      <c r="M398" s="513">
        <f t="shared" si="24"/>
        <v>0</v>
      </c>
      <c r="N398" s="512"/>
      <c r="O398" s="513">
        <f t="shared" si="25"/>
        <v>0</v>
      </c>
      <c r="Q398" s="509">
        <f t="shared" ref="Q398:Q462" si="27">Q397</f>
        <v>2.5000000000000001E-3</v>
      </c>
      <c r="S398" s="513">
        <f t="shared" si="26"/>
        <v>0</v>
      </c>
    </row>
    <row r="399" spans="2:19" hidden="1">
      <c r="B399" s="468">
        <v>387</v>
      </c>
      <c r="C399" s="497"/>
      <c r="D399" s="498"/>
      <c r="E399" s="499"/>
      <c r="F399" s="500"/>
      <c r="G399" s="35"/>
      <c r="H399" s="511">
        <f>IF(Consolidado_A!$G$133=7.6%,-(0.0165+0.076)*F399,0)</f>
        <v>0</v>
      </c>
      <c r="I399" s="35"/>
      <c r="J399" s="505"/>
      <c r="K399" s="506"/>
      <c r="L399" s="453"/>
      <c r="M399" s="513">
        <f t="shared" si="24"/>
        <v>0</v>
      </c>
      <c r="N399" s="512"/>
      <c r="O399" s="513">
        <f t="shared" si="25"/>
        <v>0</v>
      </c>
      <c r="Q399" s="509">
        <f t="shared" si="27"/>
        <v>2.5000000000000001E-3</v>
      </c>
      <c r="S399" s="513">
        <f t="shared" si="26"/>
        <v>0</v>
      </c>
    </row>
    <row r="400" spans="2:19" hidden="1">
      <c r="B400" s="468">
        <v>388</v>
      </c>
      <c r="C400" s="497"/>
      <c r="D400" s="498"/>
      <c r="E400" s="499"/>
      <c r="F400" s="500"/>
      <c r="G400" s="35"/>
      <c r="H400" s="511">
        <f>IF(Consolidado_A!$G$133=7.6%,-(0.0165+0.076)*F400,0)</f>
        <v>0</v>
      </c>
      <c r="I400" s="35"/>
      <c r="J400" s="505"/>
      <c r="K400" s="506"/>
      <c r="L400" s="453"/>
      <c r="M400" s="513">
        <f t="shared" si="24"/>
        <v>0</v>
      </c>
      <c r="N400" s="512"/>
      <c r="O400" s="513">
        <f t="shared" si="25"/>
        <v>0</v>
      </c>
      <c r="Q400" s="509">
        <f t="shared" si="27"/>
        <v>2.5000000000000001E-3</v>
      </c>
      <c r="S400" s="513">
        <f t="shared" si="26"/>
        <v>0</v>
      </c>
    </row>
    <row r="401" spans="2:19" hidden="1">
      <c r="B401" s="468">
        <v>389</v>
      </c>
      <c r="C401" s="497"/>
      <c r="D401" s="498"/>
      <c r="E401" s="499"/>
      <c r="F401" s="500"/>
      <c r="G401" s="35"/>
      <c r="H401" s="511">
        <f>IF(Consolidado_A!$G$133=7.6%,-(0.0165+0.076)*F401,0)</f>
        <v>0</v>
      </c>
      <c r="I401" s="35"/>
      <c r="J401" s="505"/>
      <c r="K401" s="506"/>
      <c r="L401" s="453"/>
      <c r="M401" s="513">
        <f t="shared" si="24"/>
        <v>0</v>
      </c>
      <c r="N401" s="512"/>
      <c r="O401" s="513">
        <f t="shared" si="25"/>
        <v>0</v>
      </c>
      <c r="Q401" s="509">
        <f t="shared" si="27"/>
        <v>2.5000000000000001E-3</v>
      </c>
      <c r="S401" s="513">
        <f t="shared" si="26"/>
        <v>0</v>
      </c>
    </row>
    <row r="402" spans="2:19" hidden="1">
      <c r="B402" s="468">
        <v>390</v>
      </c>
      <c r="C402" s="497"/>
      <c r="D402" s="498"/>
      <c r="E402" s="499"/>
      <c r="F402" s="500"/>
      <c r="G402" s="35"/>
      <c r="H402" s="511">
        <f>IF(Consolidado_A!$G$133=7.6%,-(0.0165+0.076)*F402,0)</f>
        <v>0</v>
      </c>
      <c r="I402" s="35"/>
      <c r="J402" s="505"/>
      <c r="K402" s="506"/>
      <c r="L402" s="453"/>
      <c r="M402" s="513">
        <f t="shared" si="24"/>
        <v>0</v>
      </c>
      <c r="N402" s="512"/>
      <c r="O402" s="513">
        <f t="shared" si="25"/>
        <v>0</v>
      </c>
      <c r="Q402" s="509">
        <f t="shared" si="27"/>
        <v>2.5000000000000001E-3</v>
      </c>
      <c r="S402" s="513">
        <f t="shared" si="26"/>
        <v>0</v>
      </c>
    </row>
    <row r="403" spans="2:19" hidden="1">
      <c r="B403" s="468">
        <v>391</v>
      </c>
      <c r="C403" s="497"/>
      <c r="D403" s="498"/>
      <c r="E403" s="499"/>
      <c r="F403" s="500"/>
      <c r="G403" s="35"/>
      <c r="H403" s="511">
        <f>IF(Consolidado_A!$G$133=7.6%,-(0.0165+0.076)*F403,0)</f>
        <v>0</v>
      </c>
      <c r="I403" s="35"/>
      <c r="J403" s="505"/>
      <c r="K403" s="506"/>
      <c r="L403" s="453"/>
      <c r="M403" s="513">
        <f t="shared" si="24"/>
        <v>0</v>
      </c>
      <c r="N403" s="512"/>
      <c r="O403" s="513">
        <f t="shared" si="25"/>
        <v>0</v>
      </c>
      <c r="Q403" s="509">
        <f t="shared" si="27"/>
        <v>2.5000000000000001E-3</v>
      </c>
      <c r="S403" s="513">
        <f t="shared" si="26"/>
        <v>0</v>
      </c>
    </row>
    <row r="404" spans="2:19" hidden="1">
      <c r="B404" s="468">
        <v>392</v>
      </c>
      <c r="C404" s="497"/>
      <c r="D404" s="498"/>
      <c r="E404" s="499"/>
      <c r="F404" s="500"/>
      <c r="G404" s="35"/>
      <c r="H404" s="511">
        <f>IF(Consolidado_A!$G$133=7.6%,-(0.0165+0.076)*F404,0)</f>
        <v>0</v>
      </c>
      <c r="I404" s="35"/>
      <c r="J404" s="505"/>
      <c r="K404" s="506"/>
      <c r="L404" s="453"/>
      <c r="M404" s="513">
        <f t="shared" si="24"/>
        <v>0</v>
      </c>
      <c r="N404" s="512"/>
      <c r="O404" s="513">
        <f t="shared" si="25"/>
        <v>0</v>
      </c>
      <c r="Q404" s="509">
        <f t="shared" si="27"/>
        <v>2.5000000000000001E-3</v>
      </c>
      <c r="S404" s="513">
        <f t="shared" si="26"/>
        <v>0</v>
      </c>
    </row>
    <row r="405" spans="2:19" hidden="1">
      <c r="B405" s="468">
        <v>393</v>
      </c>
      <c r="C405" s="497"/>
      <c r="D405" s="498"/>
      <c r="E405" s="499"/>
      <c r="F405" s="500"/>
      <c r="G405" s="35"/>
      <c r="H405" s="511">
        <f>IF(Consolidado_A!$G$133=7.6%,-(0.0165+0.076)*F405,0)</f>
        <v>0</v>
      </c>
      <c r="I405" s="35"/>
      <c r="J405" s="505"/>
      <c r="K405" s="506"/>
      <c r="L405" s="453"/>
      <c r="M405" s="513">
        <f t="shared" si="24"/>
        <v>0</v>
      </c>
      <c r="N405" s="512"/>
      <c r="O405" s="513">
        <f t="shared" si="25"/>
        <v>0</v>
      </c>
      <c r="Q405" s="509">
        <f t="shared" si="27"/>
        <v>2.5000000000000001E-3</v>
      </c>
      <c r="S405" s="513">
        <f t="shared" si="26"/>
        <v>0</v>
      </c>
    </row>
    <row r="406" spans="2:19" hidden="1">
      <c r="B406" s="468">
        <v>394</v>
      </c>
      <c r="C406" s="497"/>
      <c r="D406" s="498"/>
      <c r="E406" s="499"/>
      <c r="F406" s="500"/>
      <c r="G406" s="35"/>
      <c r="H406" s="511">
        <f>IF(Consolidado_A!$G$133=7.6%,-(0.0165+0.076)*F406,0)</f>
        <v>0</v>
      </c>
      <c r="I406" s="35"/>
      <c r="J406" s="505"/>
      <c r="K406" s="506"/>
      <c r="L406" s="453"/>
      <c r="M406" s="513">
        <f t="shared" si="24"/>
        <v>0</v>
      </c>
      <c r="N406" s="512"/>
      <c r="O406" s="513">
        <f t="shared" si="25"/>
        <v>0</v>
      </c>
      <c r="Q406" s="509">
        <f t="shared" si="27"/>
        <v>2.5000000000000001E-3</v>
      </c>
      <c r="S406" s="513">
        <f t="shared" si="26"/>
        <v>0</v>
      </c>
    </row>
    <row r="407" spans="2:19" hidden="1">
      <c r="B407" s="468">
        <v>395</v>
      </c>
      <c r="C407" s="497"/>
      <c r="D407" s="498"/>
      <c r="E407" s="499"/>
      <c r="F407" s="500"/>
      <c r="G407" s="35"/>
      <c r="H407" s="511">
        <f>IF(Consolidado_A!$G$133=7.6%,-(0.0165+0.076)*F407,0)</f>
        <v>0</v>
      </c>
      <c r="I407" s="35"/>
      <c r="J407" s="505"/>
      <c r="K407" s="506"/>
      <c r="L407" s="453"/>
      <c r="M407" s="513">
        <f t="shared" si="24"/>
        <v>0</v>
      </c>
      <c r="N407" s="512"/>
      <c r="O407" s="513">
        <f t="shared" si="25"/>
        <v>0</v>
      </c>
      <c r="Q407" s="509">
        <f t="shared" si="27"/>
        <v>2.5000000000000001E-3</v>
      </c>
      <c r="S407" s="513">
        <f t="shared" si="26"/>
        <v>0</v>
      </c>
    </row>
    <row r="408" spans="2:19" hidden="1">
      <c r="B408" s="468">
        <v>396</v>
      </c>
      <c r="C408" s="497"/>
      <c r="D408" s="498"/>
      <c r="E408" s="499"/>
      <c r="F408" s="500"/>
      <c r="G408" s="35"/>
      <c r="H408" s="511">
        <f>IF(Consolidado_A!$G$133=7.6%,-(0.0165+0.076)*F408,0)</f>
        <v>0</v>
      </c>
      <c r="I408" s="35"/>
      <c r="J408" s="505"/>
      <c r="K408" s="506"/>
      <c r="L408" s="453"/>
      <c r="M408" s="513">
        <f t="shared" si="24"/>
        <v>0</v>
      </c>
      <c r="N408" s="512"/>
      <c r="O408" s="513">
        <f t="shared" si="25"/>
        <v>0</v>
      </c>
      <c r="P408" s="453"/>
      <c r="Q408" s="509">
        <f t="shared" si="27"/>
        <v>2.5000000000000001E-3</v>
      </c>
      <c r="R408" s="453"/>
      <c r="S408" s="513">
        <f t="shared" si="26"/>
        <v>0</v>
      </c>
    </row>
    <row r="409" spans="2:19" hidden="1">
      <c r="B409" s="468">
        <v>397</v>
      </c>
      <c r="C409" s="497"/>
      <c r="D409" s="498"/>
      <c r="E409" s="499"/>
      <c r="F409" s="500"/>
      <c r="G409" s="35"/>
      <c r="H409" s="511">
        <f>IF(Consolidado_A!$G$133=7.6%,-(0.0165+0.076)*F409,0)</f>
        <v>0</v>
      </c>
      <c r="I409" s="35"/>
      <c r="J409" s="505"/>
      <c r="K409" s="506"/>
      <c r="L409" s="453"/>
      <c r="M409" s="513">
        <f t="shared" si="24"/>
        <v>0</v>
      </c>
      <c r="N409" s="512"/>
      <c r="O409" s="513">
        <f t="shared" si="25"/>
        <v>0</v>
      </c>
      <c r="Q409" s="509">
        <f t="shared" si="27"/>
        <v>2.5000000000000001E-3</v>
      </c>
      <c r="S409" s="513">
        <f t="shared" si="26"/>
        <v>0</v>
      </c>
    </row>
    <row r="410" spans="2:19" hidden="1">
      <c r="B410" s="468">
        <v>398</v>
      </c>
      <c r="C410" s="497"/>
      <c r="D410" s="498"/>
      <c r="E410" s="499"/>
      <c r="F410" s="500"/>
      <c r="G410" s="35"/>
      <c r="H410" s="511">
        <f>IF(Consolidado_A!$G$133=7.6%,-(0.0165+0.076)*F410,0)</f>
        <v>0</v>
      </c>
      <c r="I410" s="35"/>
      <c r="J410" s="505"/>
      <c r="K410" s="506"/>
      <c r="L410" s="453"/>
      <c r="M410" s="513">
        <f t="shared" si="24"/>
        <v>0</v>
      </c>
      <c r="N410" s="512"/>
      <c r="O410" s="513">
        <f t="shared" si="25"/>
        <v>0</v>
      </c>
      <c r="Q410" s="509">
        <f t="shared" si="27"/>
        <v>2.5000000000000001E-3</v>
      </c>
      <c r="S410" s="513">
        <f t="shared" si="26"/>
        <v>0</v>
      </c>
    </row>
    <row r="411" spans="2:19" hidden="1">
      <c r="B411" s="468">
        <v>399</v>
      </c>
      <c r="C411" s="497"/>
      <c r="D411" s="498"/>
      <c r="E411" s="499"/>
      <c r="F411" s="500"/>
      <c r="G411" s="35"/>
      <c r="H411" s="511">
        <f>IF(Consolidado_A!$G$133=7.6%,-(0.0165+0.076)*F411,0)</f>
        <v>0</v>
      </c>
      <c r="I411" s="35"/>
      <c r="J411" s="505"/>
      <c r="K411" s="506"/>
      <c r="L411" s="453"/>
      <c r="M411" s="513">
        <f t="shared" si="24"/>
        <v>0</v>
      </c>
      <c r="N411" s="512"/>
      <c r="O411" s="513">
        <f t="shared" si="25"/>
        <v>0</v>
      </c>
      <c r="Q411" s="509">
        <f t="shared" si="27"/>
        <v>2.5000000000000001E-3</v>
      </c>
      <c r="S411" s="513">
        <f t="shared" si="26"/>
        <v>0</v>
      </c>
    </row>
    <row r="412" spans="2:19" hidden="1">
      <c r="B412" s="468">
        <v>400</v>
      </c>
      <c r="C412" s="497"/>
      <c r="D412" s="498"/>
      <c r="E412" s="499"/>
      <c r="F412" s="500"/>
      <c r="G412" s="35"/>
      <c r="H412" s="511">
        <f>IF(Consolidado_A!$G$133=7.6%,-(0.0165+0.076)*F412,0)</f>
        <v>0</v>
      </c>
      <c r="I412" s="35"/>
      <c r="J412" s="505"/>
      <c r="K412" s="506"/>
      <c r="L412" s="453"/>
      <c r="M412" s="513">
        <f t="shared" si="24"/>
        <v>0</v>
      </c>
      <c r="N412" s="512"/>
      <c r="O412" s="513">
        <f t="shared" si="25"/>
        <v>0</v>
      </c>
      <c r="Q412" s="509">
        <f t="shared" si="27"/>
        <v>2.5000000000000001E-3</v>
      </c>
      <c r="S412" s="513">
        <f t="shared" si="26"/>
        <v>0</v>
      </c>
    </row>
    <row r="413" spans="2:19" hidden="1">
      <c r="B413" s="468">
        <v>401</v>
      </c>
      <c r="C413" s="497"/>
      <c r="D413" s="498"/>
      <c r="E413" s="499"/>
      <c r="F413" s="500"/>
      <c r="G413" s="35"/>
      <c r="H413" s="511">
        <f>IF(Consolidado_A!$G$133=7.6%,-(0.0165+0.076)*F413,0)</f>
        <v>0</v>
      </c>
      <c r="I413" s="35"/>
      <c r="J413" s="505"/>
      <c r="K413" s="506"/>
      <c r="L413" s="453"/>
      <c r="M413" s="513">
        <f t="shared" si="24"/>
        <v>0</v>
      </c>
      <c r="N413" s="512"/>
      <c r="O413" s="513">
        <f t="shared" si="25"/>
        <v>0</v>
      </c>
      <c r="Q413" s="509">
        <f t="shared" si="27"/>
        <v>2.5000000000000001E-3</v>
      </c>
      <c r="S413" s="513">
        <f t="shared" si="26"/>
        <v>0</v>
      </c>
    </row>
    <row r="414" spans="2:19" hidden="1">
      <c r="B414" s="468">
        <v>402</v>
      </c>
      <c r="C414" s="497"/>
      <c r="D414" s="498"/>
      <c r="E414" s="499"/>
      <c r="F414" s="500"/>
      <c r="G414" s="35"/>
      <c r="H414" s="511">
        <f>IF(Consolidado_A!$G$133=7.6%,-(0.0165+0.076)*F414,0)</f>
        <v>0</v>
      </c>
      <c r="I414" s="35"/>
      <c r="J414" s="505"/>
      <c r="K414" s="506"/>
      <c r="L414" s="453"/>
      <c r="M414" s="513">
        <f t="shared" si="24"/>
        <v>0</v>
      </c>
      <c r="N414" s="512"/>
      <c r="O414" s="513">
        <f t="shared" si="25"/>
        <v>0</v>
      </c>
      <c r="Q414" s="509">
        <f t="shared" si="27"/>
        <v>2.5000000000000001E-3</v>
      </c>
      <c r="S414" s="513">
        <f t="shared" si="26"/>
        <v>0</v>
      </c>
    </row>
    <row r="415" spans="2:19" hidden="1">
      <c r="B415" s="468">
        <v>403</v>
      </c>
      <c r="C415" s="497"/>
      <c r="D415" s="498"/>
      <c r="E415" s="499"/>
      <c r="F415" s="500"/>
      <c r="G415" s="35"/>
      <c r="H415" s="511">
        <f>IF(Consolidado_A!$G$133=7.6%,-(0.0165+0.076)*F415,0)</f>
        <v>0</v>
      </c>
      <c r="I415" s="35"/>
      <c r="J415" s="505"/>
      <c r="K415" s="506"/>
      <c r="L415" s="453"/>
      <c r="M415" s="513">
        <f t="shared" si="24"/>
        <v>0</v>
      </c>
      <c r="N415" s="512"/>
      <c r="O415" s="513">
        <f t="shared" si="25"/>
        <v>0</v>
      </c>
      <c r="Q415" s="509">
        <f t="shared" si="27"/>
        <v>2.5000000000000001E-3</v>
      </c>
      <c r="S415" s="513">
        <f t="shared" si="26"/>
        <v>0</v>
      </c>
    </row>
    <row r="416" spans="2:19" hidden="1">
      <c r="B416" s="468">
        <v>404</v>
      </c>
      <c r="C416" s="497"/>
      <c r="D416" s="498"/>
      <c r="E416" s="499"/>
      <c r="F416" s="500"/>
      <c r="G416" s="35"/>
      <c r="H416" s="511">
        <f>IF(Consolidado_A!$G$133=7.6%,-(0.0165+0.076)*F416,0)</f>
        <v>0</v>
      </c>
      <c r="I416" s="35"/>
      <c r="J416" s="505"/>
      <c r="K416" s="506"/>
      <c r="L416" s="453"/>
      <c r="M416" s="513">
        <f t="shared" si="24"/>
        <v>0</v>
      </c>
      <c r="N416" s="512"/>
      <c r="O416" s="513">
        <f t="shared" si="25"/>
        <v>0</v>
      </c>
      <c r="Q416" s="509">
        <f t="shared" si="27"/>
        <v>2.5000000000000001E-3</v>
      </c>
      <c r="S416" s="513">
        <f t="shared" si="26"/>
        <v>0</v>
      </c>
    </row>
    <row r="417" spans="2:19" hidden="1">
      <c r="B417" s="468">
        <v>405</v>
      </c>
      <c r="C417" s="497"/>
      <c r="D417" s="498"/>
      <c r="E417" s="499"/>
      <c r="F417" s="500"/>
      <c r="G417" s="35"/>
      <c r="H417" s="511">
        <f>IF(Consolidado_A!$G$133=7.6%,-(0.0165+0.076)*F417,0)</f>
        <v>0</v>
      </c>
      <c r="I417" s="35"/>
      <c r="J417" s="505"/>
      <c r="K417" s="506"/>
      <c r="L417" s="453"/>
      <c r="M417" s="513">
        <f t="shared" si="24"/>
        <v>0</v>
      </c>
      <c r="N417" s="512"/>
      <c r="O417" s="513">
        <f t="shared" si="25"/>
        <v>0</v>
      </c>
      <c r="Q417" s="509">
        <f t="shared" si="27"/>
        <v>2.5000000000000001E-3</v>
      </c>
      <c r="S417" s="513">
        <f t="shared" si="26"/>
        <v>0</v>
      </c>
    </row>
    <row r="418" spans="2:19" hidden="1">
      <c r="B418" s="468">
        <v>406</v>
      </c>
      <c r="C418" s="497"/>
      <c r="D418" s="498"/>
      <c r="E418" s="499"/>
      <c r="F418" s="500"/>
      <c r="G418" s="35"/>
      <c r="H418" s="511">
        <f>IF(Consolidado_A!$G$133=7.6%,-(0.0165+0.076)*F418,0)</f>
        <v>0</v>
      </c>
      <c r="I418" s="35"/>
      <c r="J418" s="505"/>
      <c r="K418" s="506"/>
      <c r="L418" s="453"/>
      <c r="M418" s="513">
        <f t="shared" si="24"/>
        <v>0</v>
      </c>
      <c r="N418" s="512"/>
      <c r="O418" s="513">
        <f t="shared" si="25"/>
        <v>0</v>
      </c>
      <c r="Q418" s="509">
        <f t="shared" si="27"/>
        <v>2.5000000000000001E-3</v>
      </c>
      <c r="S418" s="513">
        <f t="shared" si="26"/>
        <v>0</v>
      </c>
    </row>
    <row r="419" spans="2:19" hidden="1">
      <c r="B419" s="468">
        <v>407</v>
      </c>
      <c r="C419" s="497"/>
      <c r="D419" s="498"/>
      <c r="E419" s="499"/>
      <c r="F419" s="500"/>
      <c r="G419" s="35"/>
      <c r="H419" s="511">
        <f>IF(Consolidado_A!$G$133=7.6%,-(0.0165+0.076)*F419,0)</f>
        <v>0</v>
      </c>
      <c r="I419" s="35"/>
      <c r="J419" s="505"/>
      <c r="K419" s="506"/>
      <c r="L419" s="453"/>
      <c r="M419" s="513">
        <f t="shared" si="24"/>
        <v>0</v>
      </c>
      <c r="N419" s="512"/>
      <c r="O419" s="513">
        <f t="shared" si="25"/>
        <v>0</v>
      </c>
      <c r="Q419" s="509">
        <f t="shared" si="27"/>
        <v>2.5000000000000001E-3</v>
      </c>
      <c r="S419" s="513">
        <f t="shared" si="26"/>
        <v>0</v>
      </c>
    </row>
    <row r="420" spans="2:19" hidden="1">
      <c r="B420" s="468">
        <v>408</v>
      </c>
      <c r="C420" s="497"/>
      <c r="D420" s="498"/>
      <c r="E420" s="499"/>
      <c r="F420" s="500"/>
      <c r="G420" s="35"/>
      <c r="H420" s="511">
        <f>IF(Consolidado_A!$G$133=7.6%,-(0.0165+0.076)*F420,0)</f>
        <v>0</v>
      </c>
      <c r="I420" s="35"/>
      <c r="J420" s="505"/>
      <c r="K420" s="506"/>
      <c r="L420" s="453"/>
      <c r="M420" s="513">
        <f t="shared" si="24"/>
        <v>0</v>
      </c>
      <c r="N420" s="512"/>
      <c r="O420" s="513">
        <f t="shared" si="25"/>
        <v>0</v>
      </c>
      <c r="Q420" s="509">
        <f t="shared" si="27"/>
        <v>2.5000000000000001E-3</v>
      </c>
      <c r="S420" s="513">
        <f t="shared" si="26"/>
        <v>0</v>
      </c>
    </row>
    <row r="421" spans="2:19" hidden="1">
      <c r="B421" s="468">
        <v>409</v>
      </c>
      <c r="C421" s="497"/>
      <c r="D421" s="498"/>
      <c r="E421" s="499"/>
      <c r="F421" s="500"/>
      <c r="G421" s="35"/>
      <c r="H421" s="511">
        <f>IF(Consolidado_A!$G$133=7.6%,-(0.0165+0.076)*F421,0)</f>
        <v>0</v>
      </c>
      <c r="I421" s="35"/>
      <c r="J421" s="505"/>
      <c r="K421" s="506"/>
      <c r="L421" s="453"/>
      <c r="M421" s="513">
        <f t="shared" si="24"/>
        <v>0</v>
      </c>
      <c r="N421" s="512"/>
      <c r="O421" s="513">
        <f t="shared" si="25"/>
        <v>0</v>
      </c>
      <c r="Q421" s="509">
        <f t="shared" si="27"/>
        <v>2.5000000000000001E-3</v>
      </c>
      <c r="S421" s="513">
        <f t="shared" si="26"/>
        <v>0</v>
      </c>
    </row>
    <row r="422" spans="2:19" hidden="1">
      <c r="B422" s="468">
        <v>410</v>
      </c>
      <c r="C422" s="497"/>
      <c r="D422" s="498"/>
      <c r="E422" s="499"/>
      <c r="F422" s="500"/>
      <c r="G422" s="35"/>
      <c r="H422" s="511">
        <f>IF(Consolidado_A!$G$133=7.6%,-(0.0165+0.076)*F422,0)</f>
        <v>0</v>
      </c>
      <c r="I422" s="35"/>
      <c r="J422" s="505"/>
      <c r="K422" s="506"/>
      <c r="L422" s="453"/>
      <c r="M422" s="513">
        <f t="shared" si="24"/>
        <v>0</v>
      </c>
      <c r="N422" s="512"/>
      <c r="O422" s="513">
        <f t="shared" si="25"/>
        <v>0</v>
      </c>
      <c r="P422" s="453"/>
      <c r="Q422" s="509">
        <f t="shared" si="27"/>
        <v>2.5000000000000001E-3</v>
      </c>
      <c r="R422" s="453"/>
      <c r="S422" s="513">
        <f t="shared" si="26"/>
        <v>0</v>
      </c>
    </row>
    <row r="423" spans="2:19" hidden="1">
      <c r="B423" s="468">
        <v>411</v>
      </c>
      <c r="C423" s="497"/>
      <c r="D423" s="498"/>
      <c r="E423" s="499"/>
      <c r="F423" s="500"/>
      <c r="G423" s="35"/>
      <c r="H423" s="511">
        <f>IF(Consolidado_A!$G$133=7.6%,-(0.0165+0.076)*F423,0)</f>
        <v>0</v>
      </c>
      <c r="I423" s="35"/>
      <c r="J423" s="505"/>
      <c r="K423" s="506"/>
      <c r="L423" s="453"/>
      <c r="M423" s="513">
        <f t="shared" si="24"/>
        <v>0</v>
      </c>
      <c r="N423" s="512"/>
      <c r="O423" s="513">
        <f t="shared" si="25"/>
        <v>0</v>
      </c>
      <c r="P423" s="453"/>
      <c r="Q423" s="509">
        <f t="shared" si="27"/>
        <v>2.5000000000000001E-3</v>
      </c>
      <c r="R423" s="453"/>
      <c r="S423" s="513">
        <f t="shared" si="26"/>
        <v>0</v>
      </c>
    </row>
    <row r="424" spans="2:19" hidden="1">
      <c r="B424" s="468">
        <v>412</v>
      </c>
      <c r="C424" s="497"/>
      <c r="D424" s="498"/>
      <c r="E424" s="499"/>
      <c r="F424" s="500"/>
      <c r="G424" s="35"/>
      <c r="H424" s="511">
        <f>IF(Consolidado_A!$G$133=7.6%,-(0.0165+0.076)*F424,0)</f>
        <v>0</v>
      </c>
      <c r="I424" s="35"/>
      <c r="J424" s="505"/>
      <c r="K424" s="506"/>
      <c r="L424" s="453"/>
      <c r="M424" s="513">
        <f t="shared" si="24"/>
        <v>0</v>
      </c>
      <c r="N424" s="512"/>
      <c r="O424" s="513">
        <f t="shared" si="25"/>
        <v>0</v>
      </c>
      <c r="P424" s="453"/>
      <c r="Q424" s="509">
        <f t="shared" si="27"/>
        <v>2.5000000000000001E-3</v>
      </c>
      <c r="R424" s="453"/>
      <c r="S424" s="513">
        <f t="shared" si="26"/>
        <v>0</v>
      </c>
    </row>
    <row r="425" spans="2:19" hidden="1">
      <c r="B425" s="468">
        <v>413</v>
      </c>
      <c r="C425" s="497"/>
      <c r="D425" s="498"/>
      <c r="E425" s="499"/>
      <c r="F425" s="500"/>
      <c r="G425" s="35"/>
      <c r="H425" s="511">
        <f>IF(Consolidado_A!$G$133=7.6%,-(0.0165+0.076)*F425,0)</f>
        <v>0</v>
      </c>
      <c r="I425" s="35"/>
      <c r="J425" s="505"/>
      <c r="K425" s="506"/>
      <c r="L425" s="453"/>
      <c r="M425" s="513">
        <f t="shared" si="24"/>
        <v>0</v>
      </c>
      <c r="N425" s="512"/>
      <c r="O425" s="513">
        <f t="shared" si="25"/>
        <v>0</v>
      </c>
      <c r="P425" s="453"/>
      <c r="Q425" s="509">
        <f t="shared" si="27"/>
        <v>2.5000000000000001E-3</v>
      </c>
      <c r="R425" s="453"/>
      <c r="S425" s="513">
        <f t="shared" si="26"/>
        <v>0</v>
      </c>
    </row>
    <row r="426" spans="2:19" hidden="1">
      <c r="B426" s="468">
        <v>414</v>
      </c>
      <c r="C426" s="497"/>
      <c r="D426" s="498"/>
      <c r="E426" s="499"/>
      <c r="F426" s="500"/>
      <c r="G426" s="35"/>
      <c r="H426" s="511">
        <f>IF(Consolidado_A!$G$133=7.6%,-(0.0165+0.076)*F426,0)</f>
        <v>0</v>
      </c>
      <c r="I426" s="35"/>
      <c r="J426" s="505"/>
      <c r="K426" s="506"/>
      <c r="L426" s="453"/>
      <c r="M426" s="513">
        <f t="shared" si="24"/>
        <v>0</v>
      </c>
      <c r="N426" s="512"/>
      <c r="O426" s="513">
        <f t="shared" si="25"/>
        <v>0</v>
      </c>
      <c r="P426" s="453"/>
      <c r="Q426" s="509">
        <f t="shared" si="27"/>
        <v>2.5000000000000001E-3</v>
      </c>
      <c r="R426" s="453"/>
      <c r="S426" s="513">
        <f t="shared" si="26"/>
        <v>0</v>
      </c>
    </row>
    <row r="427" spans="2:19" hidden="1">
      <c r="B427" s="468">
        <v>415</v>
      </c>
      <c r="C427" s="497"/>
      <c r="D427" s="498"/>
      <c r="E427" s="499"/>
      <c r="F427" s="500"/>
      <c r="G427" s="35"/>
      <c r="H427" s="511">
        <f>IF(Consolidado_A!$G$133=7.6%,-(0.0165+0.076)*F427,0)</f>
        <v>0</v>
      </c>
      <c r="I427" s="35"/>
      <c r="J427" s="505"/>
      <c r="K427" s="506"/>
      <c r="L427" s="453"/>
      <c r="M427" s="513">
        <f t="shared" si="24"/>
        <v>0</v>
      </c>
      <c r="N427" s="512"/>
      <c r="O427" s="513">
        <f t="shared" si="25"/>
        <v>0</v>
      </c>
      <c r="P427" s="453"/>
      <c r="Q427" s="509">
        <f t="shared" si="27"/>
        <v>2.5000000000000001E-3</v>
      </c>
      <c r="R427" s="453"/>
      <c r="S427" s="513">
        <f t="shared" si="26"/>
        <v>0</v>
      </c>
    </row>
    <row r="428" spans="2:19" hidden="1">
      <c r="B428" s="468">
        <v>416</v>
      </c>
      <c r="C428" s="497"/>
      <c r="D428" s="498"/>
      <c r="E428" s="499"/>
      <c r="F428" s="500"/>
      <c r="G428" s="35"/>
      <c r="H428" s="511">
        <f>IF(Consolidado_A!$G$133=7.6%,-(0.0165+0.076)*F428,0)</f>
        <v>0</v>
      </c>
      <c r="I428" s="35"/>
      <c r="J428" s="505"/>
      <c r="K428" s="506"/>
      <c r="L428" s="453"/>
      <c r="M428" s="513">
        <f t="shared" si="24"/>
        <v>0</v>
      </c>
      <c r="N428" s="512"/>
      <c r="O428" s="513">
        <f t="shared" si="25"/>
        <v>0</v>
      </c>
      <c r="P428" s="453"/>
      <c r="Q428" s="509">
        <f t="shared" si="27"/>
        <v>2.5000000000000001E-3</v>
      </c>
      <c r="R428" s="453"/>
      <c r="S428" s="513">
        <f t="shared" si="26"/>
        <v>0</v>
      </c>
    </row>
    <row r="429" spans="2:19" hidden="1">
      <c r="B429" s="468">
        <v>417</v>
      </c>
      <c r="C429" s="497"/>
      <c r="D429" s="498"/>
      <c r="E429" s="499"/>
      <c r="F429" s="500"/>
      <c r="G429" s="35"/>
      <c r="H429" s="511">
        <f>IF(Consolidado_A!$G$133=7.6%,-(0.0165+0.076)*F429,0)</f>
        <v>0</v>
      </c>
      <c r="I429" s="35"/>
      <c r="J429" s="505"/>
      <c r="K429" s="506"/>
      <c r="L429" s="453"/>
      <c r="M429" s="513">
        <f t="shared" si="24"/>
        <v>0</v>
      </c>
      <c r="N429" s="512"/>
      <c r="O429" s="513">
        <f t="shared" si="25"/>
        <v>0</v>
      </c>
      <c r="P429" s="453"/>
      <c r="Q429" s="509">
        <f t="shared" si="27"/>
        <v>2.5000000000000001E-3</v>
      </c>
      <c r="R429" s="453"/>
      <c r="S429" s="513">
        <f t="shared" si="26"/>
        <v>0</v>
      </c>
    </row>
    <row r="430" spans="2:19" hidden="1">
      <c r="B430" s="468">
        <v>418</v>
      </c>
      <c r="C430" s="497"/>
      <c r="D430" s="498"/>
      <c r="E430" s="499"/>
      <c r="F430" s="500"/>
      <c r="G430" s="35"/>
      <c r="H430" s="511">
        <f>IF(Consolidado_A!$G$133=7.6%,-(0.0165+0.076)*F430,0)</f>
        <v>0</v>
      </c>
      <c r="I430" s="35"/>
      <c r="J430" s="505"/>
      <c r="K430" s="506"/>
      <c r="L430" s="453"/>
      <c r="M430" s="513">
        <f t="shared" si="24"/>
        <v>0</v>
      </c>
      <c r="N430" s="512"/>
      <c r="O430" s="513">
        <f t="shared" si="25"/>
        <v>0</v>
      </c>
      <c r="P430" s="453"/>
      <c r="Q430" s="509">
        <f t="shared" si="27"/>
        <v>2.5000000000000001E-3</v>
      </c>
      <c r="R430" s="453"/>
      <c r="S430" s="513">
        <f t="shared" si="26"/>
        <v>0</v>
      </c>
    </row>
    <row r="431" spans="2:19" hidden="1">
      <c r="B431" s="468">
        <v>419</v>
      </c>
      <c r="C431" s="497"/>
      <c r="D431" s="498"/>
      <c r="E431" s="499"/>
      <c r="F431" s="500"/>
      <c r="G431" s="35"/>
      <c r="H431" s="511">
        <f>IF(Consolidado_A!$G$133=7.6%,-(0.0165+0.076)*F431,0)</f>
        <v>0</v>
      </c>
      <c r="I431" s="35"/>
      <c r="J431" s="505"/>
      <c r="K431" s="506"/>
      <c r="L431" s="453"/>
      <c r="M431" s="513">
        <f t="shared" si="24"/>
        <v>0</v>
      </c>
      <c r="N431" s="512"/>
      <c r="O431" s="513">
        <f t="shared" si="25"/>
        <v>0</v>
      </c>
      <c r="P431" s="453"/>
      <c r="Q431" s="509">
        <f t="shared" si="27"/>
        <v>2.5000000000000001E-3</v>
      </c>
      <c r="R431" s="453"/>
      <c r="S431" s="513">
        <f t="shared" si="26"/>
        <v>0</v>
      </c>
    </row>
    <row r="432" spans="2:19" hidden="1">
      <c r="B432" s="468">
        <v>420</v>
      </c>
      <c r="C432" s="497"/>
      <c r="D432" s="498"/>
      <c r="E432" s="499"/>
      <c r="F432" s="500"/>
      <c r="G432" s="35"/>
      <c r="H432" s="511">
        <f>IF(Consolidado_A!$G$133=7.6%,-(0.0165+0.076)*F432,0)</f>
        <v>0</v>
      </c>
      <c r="I432" s="35"/>
      <c r="J432" s="505"/>
      <c r="K432" s="506"/>
      <c r="L432" s="453"/>
      <c r="M432" s="513">
        <f t="shared" si="24"/>
        <v>0</v>
      </c>
      <c r="N432" s="512"/>
      <c r="O432" s="513">
        <f t="shared" si="25"/>
        <v>0</v>
      </c>
      <c r="P432" s="453"/>
      <c r="Q432" s="509">
        <f t="shared" si="27"/>
        <v>2.5000000000000001E-3</v>
      </c>
      <c r="R432" s="453"/>
      <c r="S432" s="513">
        <f t="shared" si="26"/>
        <v>0</v>
      </c>
    </row>
    <row r="433" spans="2:19" hidden="1">
      <c r="B433" s="468">
        <v>421</v>
      </c>
      <c r="C433" s="497"/>
      <c r="D433" s="498"/>
      <c r="E433" s="499"/>
      <c r="F433" s="500"/>
      <c r="G433" s="35"/>
      <c r="H433" s="511">
        <f>IF(Consolidado_A!$G$133=7.6%,-(0.0165+0.076)*F433,0)</f>
        <v>0</v>
      </c>
      <c r="I433" s="35"/>
      <c r="J433" s="505"/>
      <c r="K433" s="506"/>
      <c r="L433" s="453"/>
      <c r="M433" s="513">
        <f t="shared" si="24"/>
        <v>0</v>
      </c>
      <c r="N433" s="512"/>
      <c r="O433" s="513">
        <f t="shared" si="25"/>
        <v>0</v>
      </c>
      <c r="Q433" s="509">
        <f t="shared" si="27"/>
        <v>2.5000000000000001E-3</v>
      </c>
      <c r="S433" s="513">
        <f t="shared" si="26"/>
        <v>0</v>
      </c>
    </row>
    <row r="434" spans="2:19" hidden="1">
      <c r="B434" s="468">
        <v>422</v>
      </c>
      <c r="C434" s="497"/>
      <c r="D434" s="498"/>
      <c r="E434" s="499"/>
      <c r="F434" s="500"/>
      <c r="G434" s="35"/>
      <c r="H434" s="511">
        <f>IF(Consolidado_A!$G$133=7.6%,-(0.0165+0.076)*F434,0)</f>
        <v>0</v>
      </c>
      <c r="I434" s="35"/>
      <c r="J434" s="505"/>
      <c r="K434" s="506"/>
      <c r="L434" s="453"/>
      <c r="M434" s="513">
        <f t="shared" si="24"/>
        <v>0</v>
      </c>
      <c r="N434" s="512"/>
      <c r="O434" s="513">
        <f t="shared" si="25"/>
        <v>0</v>
      </c>
      <c r="Q434" s="509">
        <f t="shared" si="27"/>
        <v>2.5000000000000001E-3</v>
      </c>
      <c r="S434" s="513">
        <f t="shared" si="26"/>
        <v>0</v>
      </c>
    </row>
    <row r="435" spans="2:19" hidden="1">
      <c r="B435" s="468">
        <v>423</v>
      </c>
      <c r="C435" s="497"/>
      <c r="D435" s="498"/>
      <c r="E435" s="499"/>
      <c r="F435" s="500"/>
      <c r="G435" s="35"/>
      <c r="H435" s="511">
        <f>IF(Consolidado_A!$G$133=7.6%,-(0.0165+0.076)*F435,0)</f>
        <v>0</v>
      </c>
      <c r="I435" s="35"/>
      <c r="J435" s="505"/>
      <c r="K435" s="506"/>
      <c r="L435" s="453"/>
      <c r="M435" s="513">
        <f t="shared" si="24"/>
        <v>0</v>
      </c>
      <c r="N435" s="512"/>
      <c r="O435" s="513">
        <f t="shared" si="25"/>
        <v>0</v>
      </c>
      <c r="Q435" s="509">
        <f t="shared" si="27"/>
        <v>2.5000000000000001E-3</v>
      </c>
      <c r="S435" s="513">
        <f t="shared" si="26"/>
        <v>0</v>
      </c>
    </row>
    <row r="436" spans="2:19" hidden="1">
      <c r="B436" s="468">
        <v>424</v>
      </c>
      <c r="C436" s="497"/>
      <c r="D436" s="498"/>
      <c r="E436" s="499"/>
      <c r="F436" s="500"/>
      <c r="G436" s="35"/>
      <c r="H436" s="511">
        <f>IF(Consolidado_A!$G$133=7.6%,-(0.0165+0.076)*F436,0)</f>
        <v>0</v>
      </c>
      <c r="I436" s="35"/>
      <c r="J436" s="505"/>
      <c r="K436" s="506"/>
      <c r="L436" s="453"/>
      <c r="M436" s="513">
        <f t="shared" si="24"/>
        <v>0</v>
      </c>
      <c r="N436" s="512"/>
      <c r="O436" s="513">
        <f t="shared" si="25"/>
        <v>0</v>
      </c>
      <c r="Q436" s="509">
        <f t="shared" si="27"/>
        <v>2.5000000000000001E-3</v>
      </c>
      <c r="S436" s="513">
        <f t="shared" si="26"/>
        <v>0</v>
      </c>
    </row>
    <row r="437" spans="2:19" hidden="1">
      <c r="B437" s="468">
        <v>425</v>
      </c>
      <c r="C437" s="497"/>
      <c r="D437" s="498"/>
      <c r="E437" s="499"/>
      <c r="F437" s="500"/>
      <c r="G437" s="35"/>
      <c r="H437" s="511">
        <f>IF(Consolidado_A!$G$133=7.6%,-(0.0165+0.076)*F437,0)</f>
        <v>0</v>
      </c>
      <c r="I437" s="35"/>
      <c r="J437" s="505"/>
      <c r="K437" s="506"/>
      <c r="L437" s="453"/>
      <c r="M437" s="513">
        <f t="shared" si="24"/>
        <v>0</v>
      </c>
      <c r="N437" s="512"/>
      <c r="O437" s="513">
        <f t="shared" si="25"/>
        <v>0</v>
      </c>
      <c r="Q437" s="509">
        <f t="shared" si="27"/>
        <v>2.5000000000000001E-3</v>
      </c>
      <c r="S437" s="513">
        <f t="shared" si="26"/>
        <v>0</v>
      </c>
    </row>
    <row r="438" spans="2:19" hidden="1">
      <c r="B438" s="468">
        <v>426</v>
      </c>
      <c r="C438" s="497"/>
      <c r="D438" s="498"/>
      <c r="E438" s="499"/>
      <c r="F438" s="500"/>
      <c r="G438" s="35"/>
      <c r="H438" s="511">
        <f>IF(Consolidado_A!$G$133=7.6%,-(0.0165+0.076)*F438,0)</f>
        <v>0</v>
      </c>
      <c r="I438" s="35"/>
      <c r="J438" s="505"/>
      <c r="K438" s="506"/>
      <c r="L438" s="453"/>
      <c r="M438" s="513">
        <f t="shared" si="24"/>
        <v>0</v>
      </c>
      <c r="N438" s="512"/>
      <c r="O438" s="513">
        <f t="shared" si="25"/>
        <v>0</v>
      </c>
      <c r="Q438" s="509">
        <f t="shared" si="27"/>
        <v>2.5000000000000001E-3</v>
      </c>
      <c r="S438" s="513">
        <f t="shared" si="26"/>
        <v>0</v>
      </c>
    </row>
    <row r="439" spans="2:19" hidden="1">
      <c r="B439" s="468">
        <v>427</v>
      </c>
      <c r="C439" s="497"/>
      <c r="D439" s="498"/>
      <c r="E439" s="499"/>
      <c r="F439" s="500"/>
      <c r="G439" s="35"/>
      <c r="H439" s="511">
        <f>IF(Consolidado_A!$G$133=7.6%,-(0.0165+0.076)*F439,0)</f>
        <v>0</v>
      </c>
      <c r="I439" s="35"/>
      <c r="J439" s="505"/>
      <c r="K439" s="506"/>
      <c r="L439" s="453"/>
      <c r="M439" s="513">
        <f t="shared" si="24"/>
        <v>0</v>
      </c>
      <c r="N439" s="512"/>
      <c r="O439" s="513">
        <f t="shared" si="25"/>
        <v>0</v>
      </c>
      <c r="Q439" s="509">
        <f t="shared" si="27"/>
        <v>2.5000000000000001E-3</v>
      </c>
      <c r="S439" s="513">
        <f t="shared" si="26"/>
        <v>0</v>
      </c>
    </row>
    <row r="440" spans="2:19" hidden="1">
      <c r="B440" s="468">
        <v>428</v>
      </c>
      <c r="C440" s="497"/>
      <c r="D440" s="498"/>
      <c r="E440" s="499"/>
      <c r="F440" s="500"/>
      <c r="G440" s="35"/>
      <c r="H440" s="511">
        <f>IF(Consolidado_A!$G$133=7.6%,-(0.0165+0.076)*F440,0)</f>
        <v>0</v>
      </c>
      <c r="I440" s="35"/>
      <c r="J440" s="505"/>
      <c r="K440" s="506"/>
      <c r="L440" s="453"/>
      <c r="M440" s="513">
        <f t="shared" si="24"/>
        <v>0</v>
      </c>
      <c r="N440" s="512"/>
      <c r="O440" s="513">
        <f t="shared" si="25"/>
        <v>0</v>
      </c>
      <c r="Q440" s="509">
        <f t="shared" si="27"/>
        <v>2.5000000000000001E-3</v>
      </c>
      <c r="S440" s="513">
        <f t="shared" si="26"/>
        <v>0</v>
      </c>
    </row>
    <row r="441" spans="2:19" hidden="1">
      <c r="B441" s="468">
        <v>429</v>
      </c>
      <c r="C441" s="497"/>
      <c r="D441" s="498"/>
      <c r="E441" s="499"/>
      <c r="F441" s="500"/>
      <c r="G441" s="35"/>
      <c r="H441" s="511">
        <f>IF(Consolidado_A!$G$133=7.6%,-(0.0165+0.076)*F441,0)</f>
        <v>0</v>
      </c>
      <c r="I441" s="35"/>
      <c r="J441" s="505"/>
      <c r="K441" s="506"/>
      <c r="L441" s="453"/>
      <c r="M441" s="513">
        <f t="shared" si="24"/>
        <v>0</v>
      </c>
      <c r="N441" s="512"/>
      <c r="O441" s="513">
        <f t="shared" si="25"/>
        <v>0</v>
      </c>
      <c r="Q441" s="509">
        <f t="shared" si="27"/>
        <v>2.5000000000000001E-3</v>
      </c>
      <c r="S441" s="513">
        <f t="shared" si="26"/>
        <v>0</v>
      </c>
    </row>
    <row r="442" spans="2:19" hidden="1">
      <c r="B442" s="468">
        <v>430</v>
      </c>
      <c r="C442" s="497"/>
      <c r="D442" s="498"/>
      <c r="E442" s="499"/>
      <c r="F442" s="500"/>
      <c r="G442" s="35"/>
      <c r="H442" s="511">
        <f>IF(Consolidado_A!$G$133=7.6%,-(0.0165+0.076)*F442,0)</f>
        <v>0</v>
      </c>
      <c r="I442" s="35"/>
      <c r="J442" s="505"/>
      <c r="K442" s="506"/>
      <c r="L442" s="453"/>
      <c r="M442" s="513">
        <f t="shared" si="24"/>
        <v>0</v>
      </c>
      <c r="N442" s="512"/>
      <c r="O442" s="513">
        <f t="shared" si="25"/>
        <v>0</v>
      </c>
      <c r="Q442" s="509">
        <f t="shared" si="27"/>
        <v>2.5000000000000001E-3</v>
      </c>
      <c r="S442" s="513">
        <f t="shared" si="26"/>
        <v>0</v>
      </c>
    </row>
    <row r="443" spans="2:19" hidden="1">
      <c r="B443" s="468">
        <v>431</v>
      </c>
      <c r="C443" s="497"/>
      <c r="D443" s="498"/>
      <c r="E443" s="499"/>
      <c r="F443" s="500"/>
      <c r="G443" s="35"/>
      <c r="H443" s="511">
        <f>IF(Consolidado_A!$G$133=7.6%,-(0.0165+0.076)*F443,0)</f>
        <v>0</v>
      </c>
      <c r="I443" s="35"/>
      <c r="J443" s="505"/>
      <c r="K443" s="506"/>
      <c r="L443" s="453"/>
      <c r="M443" s="513">
        <f t="shared" si="24"/>
        <v>0</v>
      </c>
      <c r="N443" s="512"/>
      <c r="O443" s="513">
        <f t="shared" si="25"/>
        <v>0</v>
      </c>
      <c r="Q443" s="509">
        <f t="shared" si="27"/>
        <v>2.5000000000000001E-3</v>
      </c>
      <c r="S443" s="513">
        <f t="shared" si="26"/>
        <v>0</v>
      </c>
    </row>
    <row r="444" spans="2:19" hidden="1">
      <c r="B444" s="468">
        <v>432</v>
      </c>
      <c r="C444" s="497"/>
      <c r="D444" s="498"/>
      <c r="E444" s="499"/>
      <c r="F444" s="500"/>
      <c r="G444" s="35"/>
      <c r="H444" s="511">
        <f>IF(Consolidado_A!$G$133=7.6%,-(0.0165+0.076)*F444,0)</f>
        <v>0</v>
      </c>
      <c r="I444" s="35"/>
      <c r="J444" s="505"/>
      <c r="K444" s="506"/>
      <c r="L444" s="453"/>
      <c r="M444" s="513">
        <f t="shared" si="24"/>
        <v>0</v>
      </c>
      <c r="N444" s="512"/>
      <c r="O444" s="513">
        <f t="shared" si="25"/>
        <v>0</v>
      </c>
      <c r="Q444" s="509">
        <f t="shared" si="27"/>
        <v>2.5000000000000001E-3</v>
      </c>
      <c r="S444" s="513">
        <f t="shared" si="26"/>
        <v>0</v>
      </c>
    </row>
    <row r="445" spans="2:19" hidden="1">
      <c r="B445" s="468">
        <v>433</v>
      </c>
      <c r="C445" s="497"/>
      <c r="D445" s="498"/>
      <c r="E445" s="499"/>
      <c r="F445" s="500"/>
      <c r="G445" s="35"/>
      <c r="H445" s="511">
        <f>IF(Consolidado_A!$G$133=7.6%,-(0.0165+0.076)*F445,0)</f>
        <v>0</v>
      </c>
      <c r="I445" s="35"/>
      <c r="J445" s="505"/>
      <c r="K445" s="506"/>
      <c r="L445" s="453"/>
      <c r="M445" s="513">
        <f t="shared" si="24"/>
        <v>0</v>
      </c>
      <c r="N445" s="512"/>
      <c r="O445" s="513">
        <f t="shared" si="25"/>
        <v>0</v>
      </c>
      <c r="Q445" s="509">
        <f t="shared" si="27"/>
        <v>2.5000000000000001E-3</v>
      </c>
      <c r="S445" s="513">
        <f t="shared" si="26"/>
        <v>0</v>
      </c>
    </row>
    <row r="446" spans="2:19" hidden="1">
      <c r="B446" s="468">
        <v>434</v>
      </c>
      <c r="C446" s="497"/>
      <c r="D446" s="498"/>
      <c r="E446" s="499"/>
      <c r="F446" s="500"/>
      <c r="G446" s="35"/>
      <c r="H446" s="511">
        <f>IF(Consolidado_A!$G$133=7.6%,-(0.0165+0.076)*F446,0)</f>
        <v>0</v>
      </c>
      <c r="I446" s="35"/>
      <c r="J446" s="505"/>
      <c r="K446" s="506"/>
      <c r="L446" s="453"/>
      <c r="M446" s="513">
        <f t="shared" si="24"/>
        <v>0</v>
      </c>
      <c r="N446" s="512"/>
      <c r="O446" s="513">
        <f t="shared" si="25"/>
        <v>0</v>
      </c>
      <c r="Q446" s="509">
        <f t="shared" si="27"/>
        <v>2.5000000000000001E-3</v>
      </c>
      <c r="S446" s="513">
        <f t="shared" si="26"/>
        <v>0</v>
      </c>
    </row>
    <row r="447" spans="2:19" hidden="1">
      <c r="B447" s="468">
        <v>435</v>
      </c>
      <c r="C447" s="497"/>
      <c r="D447" s="498"/>
      <c r="E447" s="499"/>
      <c r="F447" s="500"/>
      <c r="G447" s="35"/>
      <c r="H447" s="511">
        <f>IF(Consolidado_A!$G$133=7.6%,-(0.0165+0.076)*F447,0)</f>
        <v>0</v>
      </c>
      <c r="I447" s="35"/>
      <c r="J447" s="505"/>
      <c r="K447" s="506"/>
      <c r="L447" s="453"/>
      <c r="M447" s="513">
        <f t="shared" si="24"/>
        <v>0</v>
      </c>
      <c r="N447" s="512"/>
      <c r="O447" s="513">
        <f t="shared" si="25"/>
        <v>0</v>
      </c>
      <c r="Q447" s="509">
        <f t="shared" si="27"/>
        <v>2.5000000000000001E-3</v>
      </c>
      <c r="S447" s="513">
        <f t="shared" si="26"/>
        <v>0</v>
      </c>
    </row>
    <row r="448" spans="2:19" hidden="1">
      <c r="B448" s="468">
        <v>436</v>
      </c>
      <c r="C448" s="497"/>
      <c r="D448" s="498"/>
      <c r="E448" s="499"/>
      <c r="F448" s="500"/>
      <c r="G448" s="35"/>
      <c r="H448" s="511">
        <f>IF(Consolidado_A!$G$133=7.6%,-(0.0165+0.076)*F448,0)</f>
        <v>0</v>
      </c>
      <c r="I448" s="35"/>
      <c r="J448" s="505"/>
      <c r="K448" s="506"/>
      <c r="L448" s="453"/>
      <c r="M448" s="513">
        <f t="shared" si="24"/>
        <v>0</v>
      </c>
      <c r="N448" s="512"/>
      <c r="O448" s="513">
        <f t="shared" si="25"/>
        <v>0</v>
      </c>
      <c r="Q448" s="509">
        <f t="shared" si="27"/>
        <v>2.5000000000000001E-3</v>
      </c>
      <c r="S448" s="513">
        <f t="shared" si="26"/>
        <v>0</v>
      </c>
    </row>
    <row r="449" spans="2:19" hidden="1">
      <c r="B449" s="468">
        <v>437</v>
      </c>
      <c r="C449" s="497"/>
      <c r="D449" s="498"/>
      <c r="E449" s="499"/>
      <c r="F449" s="500"/>
      <c r="G449" s="35"/>
      <c r="H449" s="511">
        <f>IF(Consolidado_A!$G$133=7.6%,-(0.0165+0.076)*F449,0)</f>
        <v>0</v>
      </c>
      <c r="I449" s="35"/>
      <c r="J449" s="505"/>
      <c r="K449" s="506"/>
      <c r="L449" s="453"/>
      <c r="M449" s="513">
        <f t="shared" si="24"/>
        <v>0</v>
      </c>
      <c r="N449" s="512"/>
      <c r="O449" s="513">
        <f t="shared" si="25"/>
        <v>0</v>
      </c>
      <c r="Q449" s="509">
        <f t="shared" si="27"/>
        <v>2.5000000000000001E-3</v>
      </c>
      <c r="S449" s="513">
        <f t="shared" si="26"/>
        <v>0</v>
      </c>
    </row>
    <row r="450" spans="2:19" hidden="1">
      <c r="B450" s="468">
        <v>438</v>
      </c>
      <c r="C450" s="497"/>
      <c r="D450" s="498"/>
      <c r="E450" s="499"/>
      <c r="F450" s="500"/>
      <c r="G450" s="35"/>
      <c r="H450" s="511">
        <f>IF(Consolidado_A!$G$133=7.6%,-(0.0165+0.076)*F450,0)</f>
        <v>0</v>
      </c>
      <c r="I450" s="35"/>
      <c r="J450" s="505"/>
      <c r="K450" s="506"/>
      <c r="L450" s="453"/>
      <c r="M450" s="513">
        <f t="shared" si="24"/>
        <v>0</v>
      </c>
      <c r="N450" s="512"/>
      <c r="O450" s="513">
        <f t="shared" si="25"/>
        <v>0</v>
      </c>
      <c r="Q450" s="509">
        <f t="shared" si="27"/>
        <v>2.5000000000000001E-3</v>
      </c>
      <c r="S450" s="513">
        <f t="shared" si="26"/>
        <v>0</v>
      </c>
    </row>
    <row r="451" spans="2:19" hidden="1">
      <c r="B451" s="468">
        <v>439</v>
      </c>
      <c r="C451" s="497"/>
      <c r="D451" s="498"/>
      <c r="E451" s="499"/>
      <c r="F451" s="500"/>
      <c r="G451" s="35"/>
      <c r="H451" s="511">
        <f>IF(Consolidado_A!$G$133=7.6%,-(0.0165+0.076)*F451,0)</f>
        <v>0</v>
      </c>
      <c r="I451" s="35"/>
      <c r="J451" s="505"/>
      <c r="K451" s="506"/>
      <c r="L451" s="453"/>
      <c r="M451" s="513">
        <f t="shared" si="24"/>
        <v>0</v>
      </c>
      <c r="N451" s="512"/>
      <c r="O451" s="513">
        <f t="shared" si="25"/>
        <v>0</v>
      </c>
      <c r="Q451" s="509">
        <f t="shared" si="27"/>
        <v>2.5000000000000001E-3</v>
      </c>
      <c r="S451" s="513">
        <f t="shared" si="26"/>
        <v>0</v>
      </c>
    </row>
    <row r="452" spans="2:19" hidden="1">
      <c r="B452" s="468">
        <v>440</v>
      </c>
      <c r="C452" s="497"/>
      <c r="D452" s="498"/>
      <c r="E452" s="499"/>
      <c r="F452" s="500"/>
      <c r="G452" s="35"/>
      <c r="H452" s="511">
        <f>IF(Consolidado_A!$G$133=7.6%,-(0.0165+0.076)*F452,0)</f>
        <v>0</v>
      </c>
      <c r="I452" s="35"/>
      <c r="J452" s="505"/>
      <c r="K452" s="506"/>
      <c r="L452" s="453"/>
      <c r="M452" s="513">
        <f t="shared" si="24"/>
        <v>0</v>
      </c>
      <c r="N452" s="512"/>
      <c r="O452" s="513">
        <f t="shared" si="25"/>
        <v>0</v>
      </c>
      <c r="Q452" s="509">
        <f t="shared" si="27"/>
        <v>2.5000000000000001E-3</v>
      </c>
      <c r="S452" s="513">
        <f t="shared" si="26"/>
        <v>0</v>
      </c>
    </row>
    <row r="453" spans="2:19" hidden="1">
      <c r="B453" s="468">
        <v>441</v>
      </c>
      <c r="C453" s="497"/>
      <c r="D453" s="498"/>
      <c r="E453" s="499"/>
      <c r="F453" s="500"/>
      <c r="G453" s="35"/>
      <c r="H453" s="511">
        <f>IF(Consolidado_A!$G$133=7.6%,-(0.0165+0.076)*F453,0)</f>
        <v>0</v>
      </c>
      <c r="I453" s="35"/>
      <c r="J453" s="505"/>
      <c r="K453" s="506"/>
      <c r="L453" s="453"/>
      <c r="M453" s="513">
        <f t="shared" si="24"/>
        <v>0</v>
      </c>
      <c r="N453" s="512"/>
      <c r="O453" s="513">
        <f t="shared" si="25"/>
        <v>0</v>
      </c>
      <c r="Q453" s="509">
        <f t="shared" si="27"/>
        <v>2.5000000000000001E-3</v>
      </c>
      <c r="S453" s="513">
        <f t="shared" si="26"/>
        <v>0</v>
      </c>
    </row>
    <row r="454" spans="2:19" hidden="1">
      <c r="B454" s="468">
        <v>442</v>
      </c>
      <c r="C454" s="497"/>
      <c r="D454" s="498"/>
      <c r="E454" s="499"/>
      <c r="F454" s="500"/>
      <c r="G454" s="35"/>
      <c r="H454" s="511">
        <f>IF(Consolidado_A!$G$133=7.6%,-(0.0165+0.076)*F454,0)</f>
        <v>0</v>
      </c>
      <c r="I454" s="35"/>
      <c r="J454" s="505"/>
      <c r="K454" s="506"/>
      <c r="L454" s="453"/>
      <c r="M454" s="513">
        <f t="shared" si="24"/>
        <v>0</v>
      </c>
      <c r="N454" s="512"/>
      <c r="O454" s="513">
        <f t="shared" si="25"/>
        <v>0</v>
      </c>
      <c r="Q454" s="509">
        <f t="shared" si="27"/>
        <v>2.5000000000000001E-3</v>
      </c>
      <c r="S454" s="513">
        <f t="shared" si="26"/>
        <v>0</v>
      </c>
    </row>
    <row r="455" spans="2:19" hidden="1">
      <c r="B455" s="468">
        <v>443</v>
      </c>
      <c r="C455" s="497"/>
      <c r="D455" s="498"/>
      <c r="E455" s="499"/>
      <c r="F455" s="500"/>
      <c r="G455" s="35"/>
      <c r="H455" s="511">
        <f>IF(Consolidado_A!$G$133=7.6%,-(0.0165+0.076)*F455,0)</f>
        <v>0</v>
      </c>
      <c r="I455" s="35"/>
      <c r="J455" s="505"/>
      <c r="K455" s="506"/>
      <c r="L455" s="453"/>
      <c r="M455" s="513">
        <f t="shared" si="24"/>
        <v>0</v>
      </c>
      <c r="N455" s="512"/>
      <c r="O455" s="513">
        <f t="shared" si="25"/>
        <v>0</v>
      </c>
      <c r="Q455" s="509">
        <f t="shared" si="27"/>
        <v>2.5000000000000001E-3</v>
      </c>
      <c r="S455" s="513">
        <f t="shared" si="26"/>
        <v>0</v>
      </c>
    </row>
    <row r="456" spans="2:19" hidden="1">
      <c r="B456" s="468">
        <v>444</v>
      </c>
      <c r="C456" s="497"/>
      <c r="D456" s="498"/>
      <c r="E456" s="499"/>
      <c r="F456" s="500"/>
      <c r="G456" s="35"/>
      <c r="H456" s="511">
        <f>IF(Consolidado_A!$G$133=7.6%,-(0.0165+0.076)*F456,0)</f>
        <v>0</v>
      </c>
      <c r="I456" s="35"/>
      <c r="J456" s="505"/>
      <c r="K456" s="506"/>
      <c r="L456" s="453"/>
      <c r="M456" s="513">
        <f t="shared" si="24"/>
        <v>0</v>
      </c>
      <c r="N456" s="512"/>
      <c r="O456" s="513">
        <f t="shared" si="25"/>
        <v>0</v>
      </c>
      <c r="Q456" s="509">
        <f t="shared" si="27"/>
        <v>2.5000000000000001E-3</v>
      </c>
      <c r="S456" s="513">
        <f t="shared" si="26"/>
        <v>0</v>
      </c>
    </row>
    <row r="457" spans="2:19" hidden="1">
      <c r="B457" s="468">
        <v>445</v>
      </c>
      <c r="C457" s="497"/>
      <c r="D457" s="498"/>
      <c r="E457" s="499"/>
      <c r="F457" s="500"/>
      <c r="G457" s="35"/>
      <c r="H457" s="511">
        <f>IF(Consolidado_A!$G$133=7.6%,-(0.0165+0.076)*F457,0)</f>
        <v>0</v>
      </c>
      <c r="I457" s="35"/>
      <c r="J457" s="505"/>
      <c r="K457" s="506"/>
      <c r="L457" s="453"/>
      <c r="M457" s="513">
        <f t="shared" si="24"/>
        <v>0</v>
      </c>
      <c r="N457" s="512"/>
      <c r="O457" s="513">
        <f t="shared" si="25"/>
        <v>0</v>
      </c>
      <c r="Q457" s="509">
        <f t="shared" si="27"/>
        <v>2.5000000000000001E-3</v>
      </c>
      <c r="S457" s="513">
        <f t="shared" si="26"/>
        <v>0</v>
      </c>
    </row>
    <row r="458" spans="2:19" hidden="1">
      <c r="B458" s="468">
        <v>446</v>
      </c>
      <c r="C458" s="497"/>
      <c r="D458" s="498"/>
      <c r="E458" s="499"/>
      <c r="F458" s="500"/>
      <c r="G458" s="35"/>
      <c r="H458" s="511">
        <f>IF(Consolidado_A!$G$133=7.6%,-(0.0165+0.076)*F458,0)</f>
        <v>0</v>
      </c>
      <c r="I458" s="35"/>
      <c r="J458" s="505"/>
      <c r="K458" s="506"/>
      <c r="L458" s="453"/>
      <c r="M458" s="513">
        <f t="shared" si="24"/>
        <v>0</v>
      </c>
      <c r="N458" s="512"/>
      <c r="O458" s="513">
        <f t="shared" si="25"/>
        <v>0</v>
      </c>
      <c r="Q458" s="509">
        <f t="shared" si="27"/>
        <v>2.5000000000000001E-3</v>
      </c>
      <c r="S458" s="513">
        <f t="shared" si="26"/>
        <v>0</v>
      </c>
    </row>
    <row r="459" spans="2:19" hidden="1">
      <c r="B459" s="468">
        <v>447</v>
      </c>
      <c r="C459" s="497"/>
      <c r="D459" s="498"/>
      <c r="E459" s="499"/>
      <c r="F459" s="500"/>
      <c r="G459" s="35"/>
      <c r="H459" s="511">
        <f>IF(Consolidado_A!$G$133=7.6%,-(0.0165+0.076)*F459,0)</f>
        <v>0</v>
      </c>
      <c r="I459" s="35"/>
      <c r="J459" s="505"/>
      <c r="K459" s="506"/>
      <c r="L459" s="453"/>
      <c r="M459" s="513">
        <f t="shared" si="24"/>
        <v>0</v>
      </c>
      <c r="N459" s="512"/>
      <c r="O459" s="513">
        <f t="shared" si="25"/>
        <v>0</v>
      </c>
      <c r="Q459" s="509">
        <f t="shared" si="27"/>
        <v>2.5000000000000001E-3</v>
      </c>
      <c r="S459" s="513">
        <f t="shared" si="26"/>
        <v>0</v>
      </c>
    </row>
    <row r="460" spans="2:19" hidden="1">
      <c r="B460" s="468">
        <v>448</v>
      </c>
      <c r="C460" s="497"/>
      <c r="D460" s="498"/>
      <c r="E460" s="499"/>
      <c r="F460" s="500"/>
      <c r="G460" s="35"/>
      <c r="H460" s="511">
        <f>IF(Consolidado_A!$G$133=7.6%,-(0.0165+0.076)*F460,0)</f>
        <v>0</v>
      </c>
      <c r="I460" s="35"/>
      <c r="J460" s="505"/>
      <c r="K460" s="506"/>
      <c r="L460" s="453"/>
      <c r="M460" s="513">
        <f t="shared" si="24"/>
        <v>0</v>
      </c>
      <c r="N460" s="512"/>
      <c r="O460" s="513">
        <f t="shared" si="25"/>
        <v>0</v>
      </c>
      <c r="Q460" s="509">
        <f t="shared" si="27"/>
        <v>2.5000000000000001E-3</v>
      </c>
      <c r="S460" s="513">
        <f t="shared" si="26"/>
        <v>0</v>
      </c>
    </row>
    <row r="461" spans="2:19" hidden="1">
      <c r="B461" s="468">
        <v>449</v>
      </c>
      <c r="C461" s="497"/>
      <c r="D461" s="498"/>
      <c r="E461" s="499"/>
      <c r="F461" s="500"/>
      <c r="G461" s="35"/>
      <c r="H461" s="511">
        <f>IF(Consolidado_A!$G$133=7.6%,-(0.0165+0.076)*F461,0)</f>
        <v>0</v>
      </c>
      <c r="I461" s="35"/>
      <c r="J461" s="505"/>
      <c r="K461" s="506"/>
      <c r="L461" s="453"/>
      <c r="M461" s="513">
        <f t="shared" si="24"/>
        <v>0</v>
      </c>
      <c r="N461" s="512"/>
      <c r="O461" s="513">
        <f t="shared" si="25"/>
        <v>0</v>
      </c>
      <c r="Q461" s="509">
        <f t="shared" si="27"/>
        <v>2.5000000000000001E-3</v>
      </c>
      <c r="S461" s="513">
        <f t="shared" si="26"/>
        <v>0</v>
      </c>
    </row>
    <row r="462" spans="2:19" ht="13.5" thickBot="1">
      <c r="B462" s="468">
        <v>450</v>
      </c>
      <c r="C462" s="501"/>
      <c r="D462" s="502"/>
      <c r="E462" s="503"/>
      <c r="F462" s="504"/>
      <c r="G462" s="35"/>
      <c r="H462" s="511">
        <f>IF(Consolidado_A!$G$133=7.6%,-(0.0165+0.076)*F462,0)</f>
        <v>0</v>
      </c>
      <c r="I462" s="35"/>
      <c r="J462" s="507"/>
      <c r="K462" s="508"/>
      <c r="L462" s="453"/>
      <c r="M462" s="514">
        <f t="shared" si="24"/>
        <v>0</v>
      </c>
      <c r="N462" s="512"/>
      <c r="O462" s="514">
        <f t="shared" si="25"/>
        <v>0</v>
      </c>
      <c r="Q462" s="509">
        <f t="shared" si="27"/>
        <v>2.5000000000000001E-3</v>
      </c>
      <c r="S462" s="840">
        <f t="shared" si="26"/>
        <v>0</v>
      </c>
    </row>
    <row r="463" spans="2:19" ht="14.25" customHeight="1"/>
    <row r="464" spans="2:19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</sheetData>
  <sheetProtection password="CADB" sheet="1" objects="1" scenarios="1"/>
  <phoneticPr fontId="31" type="noConversion"/>
  <conditionalFormatting sqref="S462 Q13:Q462">
    <cfRule type="cellIs" dxfId="8" priority="1" stopIfTrue="1" operator="greaterThan">
      <formula>1</formula>
    </cfRule>
  </conditionalFormatting>
  <hyperlinks>
    <hyperlink ref="C2" r:id="rId1"/>
  </hyperlinks>
  <printOptions horizontalCentered="1"/>
  <pageMargins left="0.47244094488188981" right="0.47244094488188981" top="0.86614173228346458" bottom="0.86614173228346458" header="0.39370078740157483" footer="0.35433070866141736"/>
  <pageSetup paperSize="9" scale="85" orientation="landscape" blackAndWhite="1" r:id="rId2"/>
  <headerFooter alignWithMargins="0">
    <oddFooter>&amp;R&amp;F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T741"/>
  <sheetViews>
    <sheetView showGridLines="0" showZeros="0" zoomScaleNormal="100" workbookViewId="0"/>
  </sheetViews>
  <sheetFormatPr defaultRowHeight="12.75"/>
  <cols>
    <col min="1" max="1" width="6.140625" style="446" customWidth="1"/>
    <col min="2" max="2" width="15.140625" style="446" customWidth="1"/>
    <col min="3" max="3" width="2.140625" style="446" customWidth="1"/>
    <col min="4" max="4" width="5.85546875" style="446" customWidth="1"/>
    <col min="5" max="5" width="1.42578125" style="446" customWidth="1"/>
    <col min="6" max="6" width="6.140625" style="446" customWidth="1"/>
    <col min="7" max="7" width="1.42578125" style="446" customWidth="1"/>
    <col min="8" max="8" width="9.140625" style="446"/>
    <col min="9" max="9" width="1.42578125" style="446" customWidth="1"/>
    <col min="10" max="10" width="10.85546875" style="446" customWidth="1"/>
    <col min="11" max="11" width="2.42578125" style="446" customWidth="1"/>
    <col min="12" max="12" width="9" style="446" customWidth="1"/>
    <col min="13" max="13" width="1.42578125" style="446" customWidth="1"/>
    <col min="14" max="14" width="10.7109375" style="446" customWidth="1"/>
    <col min="15" max="15" width="1.42578125" style="446" customWidth="1"/>
    <col min="16" max="16" width="10.140625" style="446" customWidth="1"/>
    <col min="17" max="17" width="1.42578125" style="446" customWidth="1"/>
    <col min="18" max="18" width="12.28515625" style="446" customWidth="1"/>
    <col min="19" max="16384" width="9.140625" style="446"/>
  </cols>
  <sheetData>
    <row r="1" spans="1:19" ht="6.75" customHeight="1"/>
    <row r="2" spans="1:19" ht="15.75" customHeight="1"/>
    <row r="3" spans="1:19" ht="10.5" customHeight="1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spans="1:19" ht="21" customHeight="1" thickBot="1">
      <c r="A4" s="447"/>
      <c r="B4" s="1078" t="s">
        <v>421</v>
      </c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80"/>
      <c r="S4" s="448"/>
    </row>
    <row r="5" spans="1:19" ht="9" customHeight="1">
      <c r="A5" s="447"/>
      <c r="B5" s="6"/>
      <c r="C5" s="6"/>
      <c r="D5" s="6"/>
      <c r="E5" s="6"/>
      <c r="F5" s="6"/>
      <c r="G5" s="6"/>
      <c r="H5" s="6"/>
      <c r="I5" s="6"/>
      <c r="J5" s="6"/>
      <c r="K5" s="6"/>
      <c r="L5" s="447"/>
      <c r="M5" s="447"/>
      <c r="N5" s="447"/>
      <c r="O5" s="447"/>
      <c r="P5" s="447"/>
      <c r="Q5" s="447"/>
      <c r="R5" s="447"/>
      <c r="S5" s="448"/>
    </row>
    <row r="6" spans="1:19" ht="15.75" customHeight="1" thickBot="1">
      <c r="A6" s="447"/>
      <c r="B6" s="623" t="s">
        <v>16</v>
      </c>
      <c r="C6" s="57"/>
      <c r="D6" s="624"/>
      <c r="E6" s="68"/>
      <c r="F6" s="625"/>
      <c r="G6" s="626"/>
      <c r="H6" s="64"/>
      <c r="I6" s="447"/>
      <c r="J6" s="602">
        <v>2360</v>
      </c>
      <c r="K6" s="645" t="s">
        <v>20</v>
      </c>
      <c r="L6" s="448"/>
      <c r="N6" s="626"/>
      <c r="O6" s="447"/>
      <c r="P6" s="646" t="s">
        <v>241</v>
      </c>
      <c r="Q6" s="447"/>
      <c r="R6" s="601">
        <v>95191.25</v>
      </c>
      <c r="S6" s="448"/>
    </row>
    <row r="7" spans="1:19" ht="9" customHeight="1">
      <c r="A7" s="447"/>
      <c r="B7" s="3"/>
      <c r="C7" s="3"/>
      <c r="D7" s="8"/>
      <c r="E7" s="17"/>
      <c r="F7" s="449"/>
      <c r="G7" s="3"/>
      <c r="H7" s="449"/>
      <c r="I7" s="449"/>
      <c r="J7" s="450"/>
      <c r="K7" s="447"/>
      <c r="L7" s="451"/>
      <c r="M7" s="447"/>
      <c r="N7" s="447"/>
      <c r="O7" s="447"/>
      <c r="P7" s="447"/>
      <c r="Q7" s="447"/>
      <c r="R7" s="447"/>
      <c r="S7" s="448"/>
    </row>
    <row r="8" spans="1:19" ht="16.5" customHeight="1" thickBot="1">
      <c r="A8" s="447"/>
      <c r="B8" s="604"/>
      <c r="C8" s="603"/>
      <c r="D8" s="603"/>
      <c r="E8" s="603"/>
      <c r="F8" s="603"/>
      <c r="G8" s="495"/>
      <c r="H8" s="603"/>
      <c r="I8" s="603"/>
      <c r="J8" s="603" t="s">
        <v>19</v>
      </c>
      <c r="K8" s="603"/>
      <c r="L8" s="603"/>
      <c r="M8" s="495"/>
      <c r="N8" s="495"/>
      <c r="O8" s="495"/>
      <c r="P8" s="495"/>
      <c r="Q8" s="495"/>
      <c r="R8" s="496"/>
      <c r="S8" s="448"/>
    </row>
    <row r="9" spans="1:19" ht="6.75" customHeight="1">
      <c r="A9" s="447"/>
      <c r="B9" s="3"/>
      <c r="C9" s="3"/>
      <c r="D9" s="3"/>
      <c r="E9" s="3"/>
      <c r="F9" s="4"/>
      <c r="G9" s="4"/>
      <c r="H9" s="4"/>
      <c r="I9" s="4"/>
      <c r="J9" s="4"/>
      <c r="K9" s="3"/>
      <c r="L9" s="447"/>
      <c r="M9" s="447"/>
      <c r="N9" s="447"/>
      <c r="O9" s="447"/>
      <c r="P9" s="447"/>
      <c r="Q9" s="447"/>
      <c r="R9" s="447"/>
      <c r="S9" s="448"/>
    </row>
    <row r="10" spans="1:19" ht="25.5" customHeight="1" thickBot="1">
      <c r="A10" s="447"/>
      <c r="B10" s="605" t="s">
        <v>102</v>
      </c>
      <c r="C10" s="606"/>
      <c r="D10" s="603" t="s">
        <v>66</v>
      </c>
      <c r="E10" s="606"/>
      <c r="F10" s="607" t="s">
        <v>67</v>
      </c>
      <c r="G10" s="607"/>
      <c r="H10" s="606" t="s">
        <v>68</v>
      </c>
      <c r="I10" s="537"/>
      <c r="J10" s="603" t="s">
        <v>65</v>
      </c>
      <c r="K10" s="537"/>
      <c r="L10" s="603" t="s">
        <v>18</v>
      </c>
      <c r="M10" s="495"/>
      <c r="N10" s="603" t="s">
        <v>17</v>
      </c>
      <c r="O10" s="495"/>
      <c r="P10" s="608" t="s">
        <v>86</v>
      </c>
      <c r="Q10" s="495"/>
      <c r="R10" s="609" t="s">
        <v>113</v>
      </c>
      <c r="S10" s="448"/>
    </row>
    <row r="11" spans="1:19">
      <c r="A11" s="447"/>
      <c r="B11" s="42"/>
      <c r="C11" s="42"/>
      <c r="D11" s="6"/>
      <c r="E11" s="42"/>
      <c r="F11" s="6"/>
      <c r="G11" s="6"/>
      <c r="H11" s="42"/>
      <c r="I11" s="3"/>
      <c r="J11" s="6"/>
      <c r="K11" s="3"/>
      <c r="L11" s="4"/>
      <c r="M11" s="447"/>
      <c r="N11" s="447"/>
      <c r="O11" s="447"/>
      <c r="P11" s="447"/>
      <c r="Q11" s="447"/>
      <c r="R11" s="447"/>
      <c r="S11" s="448"/>
    </row>
    <row r="12" spans="1:19" s="454" customFormat="1" ht="14.25" customHeight="1">
      <c r="A12" s="452"/>
      <c r="B12" s="68" t="s">
        <v>76</v>
      </c>
      <c r="C12" s="42"/>
      <c r="D12" s="591">
        <v>4</v>
      </c>
      <c r="E12" s="17"/>
      <c r="F12" s="593" t="s">
        <v>29</v>
      </c>
      <c r="G12" s="42"/>
      <c r="H12" s="975">
        <v>45000</v>
      </c>
      <c r="I12" s="3"/>
      <c r="J12" s="600">
        <v>767.67</v>
      </c>
      <c r="K12" s="3"/>
      <c r="L12" s="610">
        <f>IF(H12&gt;0,(J12*D12)/H12,0)</f>
        <v>6.823733333333333E-2</v>
      </c>
      <c r="M12" s="452"/>
      <c r="N12" s="612">
        <f>L12*J6</f>
        <v>161.04010666666667</v>
      </c>
      <c r="O12" s="452"/>
      <c r="P12" s="612">
        <f>IF(Consolidado_A!$G$133&gt;=7.6%,-(0.0165+0.076)*N12,0)</f>
        <v>-14.896209866666666</v>
      </c>
      <c r="Q12" s="452"/>
      <c r="R12" s="612">
        <f t="shared" ref="R12:R21" si="0">N12+P12</f>
        <v>146.14389679999999</v>
      </c>
      <c r="S12" s="453"/>
    </row>
    <row r="13" spans="1:19" s="454" customFormat="1" ht="14.25" customHeight="1">
      <c r="A13" s="452"/>
      <c r="B13" s="68" t="s">
        <v>75</v>
      </c>
      <c r="C13" s="17"/>
      <c r="D13" s="591">
        <v>1</v>
      </c>
      <c r="E13" s="17"/>
      <c r="F13" s="593" t="s">
        <v>64</v>
      </c>
      <c r="G13" s="42"/>
      <c r="H13" s="976">
        <v>8</v>
      </c>
      <c r="I13" s="3"/>
      <c r="J13" s="600">
        <v>2.06</v>
      </c>
      <c r="K13" s="3"/>
      <c r="L13" s="610">
        <f>IF(H13&gt;0,(J13/H13),0)</f>
        <v>0.25750000000000001</v>
      </c>
      <c r="M13" s="452"/>
      <c r="N13" s="612">
        <f>L13*J6</f>
        <v>607.70000000000005</v>
      </c>
      <c r="O13" s="452"/>
      <c r="P13" s="612">
        <f>IF(Consolidado_A!$G$133&gt;=7.6%,-(0.0165+0.076)*N13,0)</f>
        <v>-56.212250000000004</v>
      </c>
      <c r="Q13" s="452"/>
      <c r="R13" s="612">
        <f t="shared" si="0"/>
        <v>551.48775000000001</v>
      </c>
      <c r="S13" s="453"/>
    </row>
    <row r="14" spans="1:19" s="454" customFormat="1" ht="14.25" customHeight="1">
      <c r="A14" s="452"/>
      <c r="B14" s="68" t="s">
        <v>69</v>
      </c>
      <c r="C14" s="17"/>
      <c r="D14" s="591">
        <v>6</v>
      </c>
      <c r="E14" s="17"/>
      <c r="F14" s="594" t="s">
        <v>64</v>
      </c>
      <c r="G14" s="455"/>
      <c r="H14" s="975">
        <v>10000</v>
      </c>
      <c r="I14" s="3"/>
      <c r="J14" s="600">
        <v>28.77</v>
      </c>
      <c r="K14" s="3"/>
      <c r="L14" s="610">
        <f t="shared" ref="L14:L20" si="1">IF(H14&gt;0,(J14*D14)/H14,0)</f>
        <v>1.7262E-2</v>
      </c>
      <c r="M14" s="452"/>
      <c r="N14" s="612">
        <f>L14*J6</f>
        <v>40.738320000000002</v>
      </c>
      <c r="O14" s="452"/>
      <c r="P14" s="612">
        <f>IF(Consolidado_A!$G$133&gt;=7.6%,-(0.0165+0.076)*N14,0)</f>
        <v>-3.7682945999999999</v>
      </c>
      <c r="Q14" s="452"/>
      <c r="R14" s="612">
        <f t="shared" si="0"/>
        <v>36.970025400000004</v>
      </c>
      <c r="S14" s="453"/>
    </row>
    <row r="15" spans="1:19" s="454" customFormat="1" ht="14.25" customHeight="1">
      <c r="A15" s="452"/>
      <c r="B15" s="68" t="s">
        <v>70</v>
      </c>
      <c r="C15" s="17"/>
      <c r="D15" s="591">
        <v>1</v>
      </c>
      <c r="E15" s="17"/>
      <c r="F15" s="594" t="s">
        <v>64</v>
      </c>
      <c r="G15" s="455"/>
      <c r="H15" s="975">
        <v>50000</v>
      </c>
      <c r="I15" s="3"/>
      <c r="J15" s="600">
        <v>18</v>
      </c>
      <c r="K15" s="3"/>
      <c r="L15" s="610">
        <f t="shared" si="1"/>
        <v>3.6000000000000002E-4</v>
      </c>
      <c r="M15" s="452"/>
      <c r="N15" s="612">
        <f>L15*J6</f>
        <v>0.84960000000000002</v>
      </c>
      <c r="O15" s="452"/>
      <c r="P15" s="612">
        <f>IF(Consolidado_A!$G$133&gt;=7.6%,-(0.0165+0.076)*N15,0)</f>
        <v>-7.8588000000000005E-2</v>
      </c>
      <c r="Q15" s="452"/>
      <c r="R15" s="612">
        <f t="shared" si="0"/>
        <v>0.77101200000000003</v>
      </c>
      <c r="S15" s="453"/>
    </row>
    <row r="16" spans="1:19" s="454" customFormat="1" ht="14.25" customHeight="1">
      <c r="A16" s="452"/>
      <c r="B16" s="68" t="s">
        <v>71</v>
      </c>
      <c r="C16" s="17"/>
      <c r="D16" s="591">
        <v>1</v>
      </c>
      <c r="E16" s="17"/>
      <c r="F16" s="594" t="s">
        <v>64</v>
      </c>
      <c r="G16" s="455"/>
      <c r="H16" s="975">
        <v>50000</v>
      </c>
      <c r="I16" s="3"/>
      <c r="J16" s="600">
        <v>16.88</v>
      </c>
      <c r="K16" s="3"/>
      <c r="L16" s="610">
        <f t="shared" si="1"/>
        <v>3.3759999999999997E-4</v>
      </c>
      <c r="M16" s="452"/>
      <c r="N16" s="612">
        <f>L16*J6</f>
        <v>0.79673599999999989</v>
      </c>
      <c r="O16" s="452"/>
      <c r="P16" s="612">
        <f>IF(Consolidado_A!$G$133&gt;=7.6%,-(0.0165+0.076)*N16,0)</f>
        <v>-7.3698079999999985E-2</v>
      </c>
      <c r="Q16" s="452"/>
      <c r="R16" s="612">
        <f t="shared" si="0"/>
        <v>0.72303791999999989</v>
      </c>
      <c r="S16" s="453"/>
    </row>
    <row r="17" spans="1:20" s="454" customFormat="1" ht="14.25" customHeight="1">
      <c r="A17" s="452"/>
      <c r="B17" s="68" t="s">
        <v>72</v>
      </c>
      <c r="C17" s="17"/>
      <c r="D17" s="591">
        <v>1</v>
      </c>
      <c r="E17" s="17"/>
      <c r="F17" s="594" t="s">
        <v>64</v>
      </c>
      <c r="G17" s="455"/>
      <c r="H17" s="975">
        <v>10000</v>
      </c>
      <c r="I17" s="3"/>
      <c r="J17" s="600">
        <v>15.49</v>
      </c>
      <c r="K17" s="3"/>
      <c r="L17" s="610">
        <f t="shared" si="1"/>
        <v>1.549E-3</v>
      </c>
      <c r="M17" s="452"/>
      <c r="N17" s="612">
        <f>L17*J6</f>
        <v>3.65564</v>
      </c>
      <c r="O17" s="452"/>
      <c r="P17" s="612">
        <f>IF(Consolidado_A!$G$133&gt;=7.6%,-(0.0165+0.076)*N17,0)</f>
        <v>-0.33814670000000002</v>
      </c>
      <c r="Q17" s="452"/>
      <c r="R17" s="612">
        <f t="shared" si="0"/>
        <v>3.3174932999999998</v>
      </c>
      <c r="S17" s="453"/>
    </row>
    <row r="18" spans="1:20" s="454" customFormat="1" ht="14.25" customHeight="1">
      <c r="A18" s="452"/>
      <c r="B18" s="627" t="s">
        <v>73</v>
      </c>
      <c r="C18" s="456"/>
      <c r="D18" s="591">
        <v>1</v>
      </c>
      <c r="E18" s="456"/>
      <c r="F18" s="595" t="s">
        <v>64</v>
      </c>
      <c r="G18" s="457"/>
      <c r="H18" s="975">
        <v>20000</v>
      </c>
      <c r="I18" s="3"/>
      <c r="J18" s="600">
        <v>11.23</v>
      </c>
      <c r="K18" s="3"/>
      <c r="L18" s="610">
        <f t="shared" si="1"/>
        <v>5.6150000000000004E-4</v>
      </c>
      <c r="M18" s="452"/>
      <c r="N18" s="612">
        <f>L18*J6</f>
        <v>1.3251400000000002</v>
      </c>
      <c r="O18" s="452"/>
      <c r="P18" s="612">
        <f>IF(Consolidado_A!$G$133&gt;=7.6%,-(0.0165+0.076)*N18,0)</f>
        <v>-0.12257545000000002</v>
      </c>
      <c r="Q18" s="452"/>
      <c r="R18" s="612">
        <f t="shared" si="0"/>
        <v>1.2025645500000002</v>
      </c>
      <c r="S18" s="453"/>
    </row>
    <row r="19" spans="1:20" s="454" customFormat="1" ht="14.25" customHeight="1">
      <c r="A19" s="452"/>
      <c r="B19" s="68" t="s">
        <v>74</v>
      </c>
      <c r="C19" s="17"/>
      <c r="D19" s="591">
        <v>1</v>
      </c>
      <c r="E19" s="17"/>
      <c r="F19" s="595" t="s">
        <v>29</v>
      </c>
      <c r="G19" s="457"/>
      <c r="H19" s="975">
        <v>1200</v>
      </c>
      <c r="I19" s="3"/>
      <c r="J19" s="600">
        <v>30.67</v>
      </c>
      <c r="K19" s="3"/>
      <c r="L19" s="610">
        <f t="shared" si="1"/>
        <v>2.5558333333333336E-2</v>
      </c>
      <c r="M19" s="452"/>
      <c r="N19" s="612">
        <f>L19*J6</f>
        <v>60.317666666666675</v>
      </c>
      <c r="O19" s="452"/>
      <c r="P19" s="612">
        <f>IF(Consolidado_A!$G$133&gt;=7.6%,-(0.0165+0.076)*N19,0)</f>
        <v>-5.5793841666666673</v>
      </c>
      <c r="Q19" s="452"/>
      <c r="R19" s="612">
        <f t="shared" si="0"/>
        <v>54.738282500000011</v>
      </c>
      <c r="S19" s="453"/>
    </row>
    <row r="20" spans="1:20" s="454" customFormat="1" ht="14.25" customHeight="1" thickBot="1">
      <c r="A20" s="452"/>
      <c r="B20" s="57" t="s">
        <v>77</v>
      </c>
      <c r="C20" s="3"/>
      <c r="D20" s="592"/>
      <c r="E20" s="3"/>
      <c r="F20" s="596" t="s">
        <v>29</v>
      </c>
      <c r="G20" s="3"/>
      <c r="H20" s="975">
        <v>50000</v>
      </c>
      <c r="I20" s="3"/>
      <c r="J20" s="600">
        <v>187</v>
      </c>
      <c r="K20" s="3"/>
      <c r="L20" s="610">
        <f t="shared" si="1"/>
        <v>0</v>
      </c>
      <c r="M20" s="452"/>
      <c r="N20" s="612">
        <f>L20*J6</f>
        <v>0</v>
      </c>
      <c r="O20" s="452"/>
      <c r="P20" s="612">
        <f>IF(Consolidado_A!$G$133&gt;=7.6%,-(0.0165+0.076)*N20,0)</f>
        <v>0</v>
      </c>
      <c r="Q20" s="452"/>
      <c r="R20" s="612">
        <f t="shared" si="0"/>
        <v>0</v>
      </c>
      <c r="S20" s="453"/>
    </row>
    <row r="21" spans="1:20" ht="14.25" customHeight="1" thickBot="1">
      <c r="A21" s="447"/>
      <c r="B21" s="628" t="s">
        <v>242</v>
      </c>
      <c r="C21" s="3"/>
      <c r="D21" s="454"/>
      <c r="E21" s="3"/>
      <c r="F21" s="457"/>
      <c r="G21" s="3"/>
      <c r="H21" s="599">
        <v>10000</v>
      </c>
      <c r="I21" s="3"/>
      <c r="J21" s="510">
        <v>0.01</v>
      </c>
      <c r="K21" s="3"/>
      <c r="L21" s="611">
        <f>IF(H21&gt;0,J21*(R6-(D13*J13))/H21,0)</f>
        <v>9.5189190000000007E-2</v>
      </c>
      <c r="M21" s="447"/>
      <c r="N21" s="613">
        <f>L21*J6</f>
        <v>224.64648840000001</v>
      </c>
      <c r="O21" s="447"/>
      <c r="P21" s="613">
        <f>IF(Consolidado_A!$G$133&gt;=7.6%,-(0.0165+0.076)*N21,0)</f>
        <v>-20.779800177000002</v>
      </c>
      <c r="Q21" s="447"/>
      <c r="R21" s="613">
        <f t="shared" si="0"/>
        <v>203.86668822300001</v>
      </c>
      <c r="S21" s="448"/>
    </row>
    <row r="22" spans="1:20" ht="4.5" customHeight="1">
      <c r="A22" s="447"/>
      <c r="B22" s="447"/>
      <c r="C22" s="447"/>
      <c r="D22" s="447"/>
      <c r="E22" s="3"/>
      <c r="F22" s="4"/>
      <c r="G22" s="4"/>
      <c r="H22" s="4"/>
      <c r="I22" s="4"/>
      <c r="J22" s="4"/>
      <c r="K22" s="3"/>
      <c r="L22" s="4"/>
      <c r="M22" s="447"/>
      <c r="N22" s="447"/>
      <c r="O22" s="447"/>
      <c r="P22" s="447"/>
      <c r="Q22" s="447"/>
      <c r="R22" s="447"/>
      <c r="S22" s="448"/>
    </row>
    <row r="23" spans="1:20" s="454" customFormat="1" ht="16.5" customHeight="1" thickBot="1">
      <c r="A23" s="452"/>
      <c r="B23" s="3"/>
      <c r="C23" s="3"/>
      <c r="D23" s="43"/>
      <c r="E23" s="3"/>
      <c r="F23" s="3"/>
      <c r="G23" s="3"/>
      <c r="H23" s="458"/>
      <c r="I23" s="35"/>
      <c r="J23" s="629" t="s">
        <v>113</v>
      </c>
      <c r="K23" s="459"/>
      <c r="L23" s="614">
        <f>SUM(L12:L20)</f>
        <v>0.37136576666666671</v>
      </c>
      <c r="M23" s="452"/>
      <c r="N23" s="615">
        <f>SUM(N12:N20)</f>
        <v>876.42320933333349</v>
      </c>
      <c r="O23" s="452"/>
      <c r="P23" s="615">
        <f>SUM(P12:P20)</f>
        <v>-81.06914686333333</v>
      </c>
      <c r="Q23" s="452"/>
      <c r="R23" s="615">
        <f>SUM(R12:R21)</f>
        <v>999.22075069300013</v>
      </c>
      <c r="S23" s="453"/>
      <c r="T23" s="460"/>
    </row>
    <row r="24" spans="1:20" ht="8.25" customHeight="1">
      <c r="A24" s="447"/>
      <c r="B24" s="4"/>
      <c r="C24" s="4"/>
      <c r="D24" s="10"/>
      <c r="E24" s="3"/>
      <c r="F24" s="461"/>
      <c r="G24" s="4"/>
      <c r="H24" s="447"/>
      <c r="I24" s="447"/>
      <c r="J24" s="462"/>
      <c r="K24" s="3"/>
      <c r="L24" s="4"/>
      <c r="M24" s="447"/>
      <c r="N24" s="447"/>
      <c r="O24" s="447"/>
      <c r="P24" s="447"/>
      <c r="Q24" s="447"/>
      <c r="R24" s="447"/>
      <c r="S24" s="448"/>
    </row>
    <row r="25" spans="1:20" s="464" customFormat="1" ht="16.5" customHeight="1" thickBot="1">
      <c r="A25" s="449"/>
      <c r="B25" s="586"/>
      <c r="C25" s="587"/>
      <c r="D25" s="587"/>
      <c r="E25" s="587"/>
      <c r="F25" s="587"/>
      <c r="G25" s="588"/>
      <c r="H25" s="587"/>
      <c r="I25" s="587"/>
      <c r="J25" s="603" t="s">
        <v>44</v>
      </c>
      <c r="K25" s="587"/>
      <c r="L25" s="587"/>
      <c r="M25" s="588"/>
      <c r="N25" s="588"/>
      <c r="O25" s="588"/>
      <c r="P25" s="588"/>
      <c r="Q25" s="588"/>
      <c r="R25" s="589"/>
      <c r="S25" s="463"/>
    </row>
    <row r="26" spans="1:20" ht="13.5" customHeight="1">
      <c r="A26" s="447"/>
      <c r="B26" s="6"/>
      <c r="C26" s="6"/>
      <c r="D26" s="6"/>
      <c r="E26" s="6"/>
      <c r="F26" s="6"/>
      <c r="G26" s="6"/>
      <c r="H26" s="6"/>
      <c r="I26" s="6"/>
      <c r="J26" s="616" t="s">
        <v>82</v>
      </c>
      <c r="K26" s="465"/>
      <c r="L26" s="616" t="s">
        <v>83</v>
      </c>
      <c r="M26" s="447"/>
      <c r="N26" s="447"/>
      <c r="O26" s="447"/>
      <c r="P26" s="447"/>
      <c r="Q26" s="447"/>
      <c r="R26" s="447"/>
      <c r="S26" s="448"/>
    </row>
    <row r="27" spans="1:20" ht="16.5" customHeight="1" thickBot="1">
      <c r="A27" s="447"/>
      <c r="B27" s="90" t="s">
        <v>243</v>
      </c>
      <c r="C27" s="619"/>
      <c r="D27" s="619"/>
      <c r="E27" s="619"/>
      <c r="F27" s="619"/>
      <c r="G27" s="619"/>
      <c r="H27" s="619"/>
      <c r="I27" s="6"/>
      <c r="J27" s="601">
        <v>2855.74</v>
      </c>
      <c r="K27" s="6"/>
      <c r="L27" s="617">
        <f>J27/12</f>
        <v>237.97833333333332</v>
      </c>
      <c r="M27" s="447"/>
      <c r="N27" s="447"/>
      <c r="O27" s="447"/>
      <c r="P27" s="447"/>
      <c r="Q27" s="447"/>
      <c r="R27" s="447"/>
      <c r="S27" s="448"/>
    </row>
    <row r="28" spans="1:20" ht="3.75" customHeight="1">
      <c r="A28" s="447"/>
      <c r="B28" s="619"/>
      <c r="C28" s="619"/>
      <c r="D28" s="619"/>
      <c r="E28" s="619"/>
      <c r="F28" s="619"/>
      <c r="G28" s="619"/>
      <c r="H28" s="619"/>
      <c r="I28" s="6"/>
      <c r="J28" s="6"/>
      <c r="K28" s="6"/>
      <c r="L28" s="618"/>
      <c r="M28" s="447"/>
      <c r="N28" s="447"/>
      <c r="O28" s="447"/>
      <c r="P28" s="447"/>
      <c r="Q28" s="447"/>
      <c r="R28" s="447"/>
      <c r="S28" s="448"/>
    </row>
    <row r="29" spans="1:20" ht="16.5" customHeight="1" thickBot="1">
      <c r="A29" s="447"/>
      <c r="B29" s="91" t="s">
        <v>78</v>
      </c>
      <c r="C29" s="619"/>
      <c r="D29" s="619"/>
      <c r="E29" s="619"/>
      <c r="F29" s="619"/>
      <c r="G29" s="619"/>
      <c r="H29" s="619"/>
      <c r="I29" s="6"/>
      <c r="J29" s="601">
        <v>7288.49</v>
      </c>
      <c r="K29" s="6"/>
      <c r="L29" s="617">
        <f>J29/12</f>
        <v>607.37416666666661</v>
      </c>
      <c r="M29" s="447"/>
      <c r="N29" s="447"/>
      <c r="O29" s="447"/>
      <c r="P29" s="516" t="s">
        <v>183</v>
      </c>
      <c r="Q29" s="447"/>
      <c r="R29" s="622">
        <f>SUM(L27:L29)</f>
        <v>845.35249999999996</v>
      </c>
      <c r="S29" s="448"/>
    </row>
    <row r="30" spans="1:20">
      <c r="A30" s="447"/>
      <c r="B30" s="4"/>
      <c r="C30" s="4"/>
      <c r="D30" s="10"/>
      <c r="E30" s="3"/>
      <c r="F30" s="4"/>
      <c r="G30" s="4"/>
      <c r="H30" s="449"/>
      <c r="I30" s="449"/>
      <c r="J30" s="462"/>
      <c r="K30" s="3"/>
      <c r="L30" s="4"/>
      <c r="M30" s="447"/>
      <c r="N30" s="447"/>
      <c r="O30" s="447"/>
      <c r="P30" s="447"/>
      <c r="Q30" s="447"/>
      <c r="R30" s="447"/>
      <c r="S30" s="448"/>
    </row>
    <row r="31" spans="1:20" ht="21.75" customHeight="1" thickBot="1">
      <c r="A31" s="447"/>
      <c r="B31" s="447"/>
      <c r="C31" s="447"/>
      <c r="D31" s="447"/>
      <c r="E31" s="3"/>
      <c r="F31" s="4"/>
      <c r="G31" s="4"/>
      <c r="H31" s="449"/>
      <c r="I31" s="449"/>
      <c r="J31" s="447"/>
      <c r="K31" s="466"/>
      <c r="L31" s="447"/>
      <c r="M31" s="447"/>
      <c r="N31" s="447"/>
      <c r="O31" s="449"/>
      <c r="P31" s="620" t="s">
        <v>45</v>
      </c>
      <c r="Q31" s="590"/>
      <c r="R31" s="621">
        <f>IF(J6&gt;0,R23+R29,0)</f>
        <v>1844.5732506930001</v>
      </c>
      <c r="S31" s="448"/>
    </row>
    <row r="32" spans="1:20" s="637" customFormat="1" ht="15" customHeight="1">
      <c r="A32" s="633"/>
      <c r="B32" s="633"/>
      <c r="C32" s="633"/>
      <c r="D32" s="10"/>
      <c r="E32" s="3"/>
      <c r="F32" s="4"/>
      <c r="G32" s="4"/>
      <c r="H32" s="633"/>
      <c r="I32" s="634"/>
      <c r="J32" s="635"/>
      <c r="K32" s="6"/>
      <c r="L32" s="6"/>
      <c r="M32" s="6"/>
      <c r="N32" s="636"/>
      <c r="O32" s="635"/>
      <c r="P32" s="633"/>
      <c r="Q32" s="633"/>
      <c r="R32" s="633"/>
      <c r="S32" s="633"/>
    </row>
    <row r="33" spans="1:19" s="637" customFormat="1" ht="15">
      <c r="C33" s="638"/>
      <c r="D33" s="639"/>
      <c r="E33" s="640"/>
      <c r="F33" s="641"/>
      <c r="G33" s="638"/>
      <c r="J33" s="642"/>
      <c r="K33" s="643"/>
      <c r="L33" s="643"/>
      <c r="M33" s="643"/>
      <c r="N33" s="644"/>
      <c r="O33" s="642"/>
    </row>
    <row r="34" spans="1:19" ht="21" hidden="1" customHeight="1" thickBot="1">
      <c r="A34" s="447"/>
      <c r="B34" s="1078" t="s">
        <v>421</v>
      </c>
      <c r="C34" s="1079"/>
      <c r="D34" s="1079"/>
      <c r="E34" s="1079"/>
      <c r="F34" s="1079"/>
      <c r="G34" s="1079"/>
      <c r="H34" s="1079"/>
      <c r="I34" s="1079"/>
      <c r="J34" s="1079"/>
      <c r="K34" s="1079"/>
      <c r="L34" s="1079"/>
      <c r="M34" s="1079"/>
      <c r="N34" s="1079"/>
      <c r="O34" s="1079"/>
      <c r="P34" s="1079"/>
      <c r="Q34" s="1079"/>
      <c r="R34" s="1080"/>
      <c r="S34" s="448"/>
    </row>
    <row r="35" spans="1:19" ht="9" hidden="1" customHeight="1">
      <c r="A35" s="447"/>
      <c r="B35" s="6"/>
      <c r="C35" s="6"/>
      <c r="D35" s="6"/>
      <c r="E35" s="6"/>
      <c r="F35" s="6"/>
      <c r="G35" s="6"/>
      <c r="H35" s="6"/>
      <c r="I35" s="6"/>
      <c r="J35" s="6"/>
      <c r="K35" s="6"/>
      <c r="L35" s="447"/>
      <c r="M35" s="447"/>
      <c r="N35" s="447"/>
      <c r="O35" s="447"/>
      <c r="P35" s="447"/>
      <c r="Q35" s="447"/>
      <c r="R35" s="447"/>
      <c r="S35" s="448"/>
    </row>
    <row r="36" spans="1:19" ht="15.75" hidden="1" customHeight="1" thickBot="1">
      <c r="A36" s="447"/>
      <c r="B36" s="623" t="s">
        <v>16</v>
      </c>
      <c r="C36" s="57"/>
      <c r="D36" s="624"/>
      <c r="E36" s="68"/>
      <c r="F36" s="625"/>
      <c r="G36" s="626"/>
      <c r="H36" s="64"/>
      <c r="I36" s="447"/>
      <c r="J36" s="602"/>
      <c r="K36" s="645" t="s">
        <v>20</v>
      </c>
      <c r="L36" s="448"/>
      <c r="N36" s="626"/>
      <c r="O36" s="447"/>
      <c r="P36" s="646" t="s">
        <v>241</v>
      </c>
      <c r="Q36" s="447"/>
      <c r="R36" s="601"/>
      <c r="S36" s="448"/>
    </row>
    <row r="37" spans="1:19" ht="9" hidden="1" customHeight="1">
      <c r="A37" s="447"/>
      <c r="B37" s="3"/>
      <c r="C37" s="3"/>
      <c r="D37" s="8"/>
      <c r="E37" s="17"/>
      <c r="F37" s="449"/>
      <c r="G37" s="3"/>
      <c r="H37" s="449"/>
      <c r="I37" s="449"/>
      <c r="J37" s="450"/>
      <c r="K37" s="447"/>
      <c r="L37" s="451"/>
      <c r="M37" s="447"/>
      <c r="N37" s="447"/>
      <c r="O37" s="447"/>
      <c r="P37" s="447"/>
      <c r="Q37" s="447"/>
      <c r="R37" s="447"/>
      <c r="S37" s="448"/>
    </row>
    <row r="38" spans="1:19" ht="16.5" hidden="1" customHeight="1" thickBot="1">
      <c r="A38" s="447"/>
      <c r="B38" s="604"/>
      <c r="C38" s="603"/>
      <c r="D38" s="603"/>
      <c r="E38" s="603"/>
      <c r="F38" s="603"/>
      <c r="G38" s="495"/>
      <c r="H38" s="603"/>
      <c r="I38" s="603"/>
      <c r="J38" s="603" t="s">
        <v>19</v>
      </c>
      <c r="K38" s="603"/>
      <c r="L38" s="603"/>
      <c r="M38" s="495"/>
      <c r="N38" s="495"/>
      <c r="O38" s="495"/>
      <c r="P38" s="495"/>
      <c r="Q38" s="495"/>
      <c r="R38" s="496"/>
      <c r="S38" s="448"/>
    </row>
    <row r="39" spans="1:19" ht="6.75" hidden="1" customHeight="1">
      <c r="A39" s="447"/>
      <c r="B39" s="3"/>
      <c r="C39" s="3"/>
      <c r="D39" s="3"/>
      <c r="E39" s="3"/>
      <c r="F39" s="4"/>
      <c r="G39" s="4"/>
      <c r="H39" s="4"/>
      <c r="I39" s="4"/>
      <c r="J39" s="4"/>
      <c r="K39" s="3"/>
      <c r="L39" s="447"/>
      <c r="M39" s="447"/>
      <c r="N39" s="447"/>
      <c r="O39" s="447"/>
      <c r="P39" s="447"/>
      <c r="Q39" s="447"/>
      <c r="R39" s="447"/>
      <c r="S39" s="448"/>
    </row>
    <row r="40" spans="1:19" ht="25.5" hidden="1" customHeight="1" thickBot="1">
      <c r="A40" s="447"/>
      <c r="B40" s="605" t="s">
        <v>102</v>
      </c>
      <c r="C40" s="606"/>
      <c r="D40" s="603" t="s">
        <v>66</v>
      </c>
      <c r="E40" s="606"/>
      <c r="F40" s="607" t="s">
        <v>67</v>
      </c>
      <c r="G40" s="607"/>
      <c r="H40" s="606" t="s">
        <v>68</v>
      </c>
      <c r="I40" s="537"/>
      <c r="J40" s="603" t="s">
        <v>65</v>
      </c>
      <c r="K40" s="537"/>
      <c r="L40" s="603" t="s">
        <v>18</v>
      </c>
      <c r="M40" s="495"/>
      <c r="N40" s="603" t="s">
        <v>17</v>
      </c>
      <c r="O40" s="495"/>
      <c r="P40" s="608" t="s">
        <v>86</v>
      </c>
      <c r="Q40" s="495"/>
      <c r="R40" s="609" t="s">
        <v>113</v>
      </c>
      <c r="S40" s="448"/>
    </row>
    <row r="41" spans="1:19" hidden="1">
      <c r="A41" s="447"/>
      <c r="B41" s="42"/>
      <c r="C41" s="42"/>
      <c r="D41" s="6"/>
      <c r="E41" s="42"/>
      <c r="F41" s="6"/>
      <c r="G41" s="6"/>
      <c r="H41" s="42"/>
      <c r="I41" s="3"/>
      <c r="J41" s="6"/>
      <c r="K41" s="3"/>
      <c r="L41" s="4"/>
      <c r="M41" s="447"/>
      <c r="N41" s="447"/>
      <c r="O41" s="447"/>
      <c r="P41" s="447"/>
      <c r="Q41" s="447"/>
      <c r="R41" s="447"/>
      <c r="S41" s="448"/>
    </row>
    <row r="42" spans="1:19" s="454" customFormat="1" ht="14.25" hidden="1" customHeight="1">
      <c r="A42" s="452"/>
      <c r="B42" s="68" t="s">
        <v>76</v>
      </c>
      <c r="C42" s="42"/>
      <c r="D42" s="591">
        <v>4</v>
      </c>
      <c r="E42" s="17"/>
      <c r="F42" s="593" t="s">
        <v>29</v>
      </c>
      <c r="G42" s="42"/>
      <c r="H42" s="597"/>
      <c r="I42" s="3"/>
      <c r="J42" s="600"/>
      <c r="K42" s="3"/>
      <c r="L42" s="610">
        <f>IF(H42&gt;0,(J42*D42)/H42,0)</f>
        <v>0</v>
      </c>
      <c r="M42" s="452"/>
      <c r="N42" s="612">
        <f>L42*J36</f>
        <v>0</v>
      </c>
      <c r="O42" s="452"/>
      <c r="P42" s="612">
        <f>IF(Consolidado_A!$G$133&gt;=7.6%,-(0.0165+0.076)*N42,0)</f>
        <v>0</v>
      </c>
      <c r="Q42" s="452"/>
      <c r="R42" s="612">
        <f t="shared" ref="R42:R51" si="2">N42+P42</f>
        <v>0</v>
      </c>
      <c r="S42" s="453"/>
    </row>
    <row r="43" spans="1:19" s="454" customFormat="1" ht="14.25" hidden="1" customHeight="1">
      <c r="A43" s="452"/>
      <c r="B43" s="68" t="s">
        <v>75</v>
      </c>
      <c r="C43" s="17"/>
      <c r="D43" s="591">
        <v>1</v>
      </c>
      <c r="E43" s="17"/>
      <c r="F43" s="593" t="s">
        <v>64</v>
      </c>
      <c r="G43" s="42"/>
      <c r="H43" s="598"/>
      <c r="I43" s="3"/>
      <c r="J43" s="600"/>
      <c r="K43" s="3"/>
      <c r="L43" s="610">
        <f>IF(H43&gt;0,(J43/H43),0)</f>
        <v>0</v>
      </c>
      <c r="M43" s="452"/>
      <c r="N43" s="612">
        <f>L43*J36</f>
        <v>0</v>
      </c>
      <c r="O43" s="452"/>
      <c r="P43" s="612">
        <f>IF(Consolidado_A!$G$133&gt;=7.6%,-(0.0165+0.076)*N43,0)</f>
        <v>0</v>
      </c>
      <c r="Q43" s="452"/>
      <c r="R43" s="612">
        <f t="shared" si="2"/>
        <v>0</v>
      </c>
      <c r="S43" s="453"/>
    </row>
    <row r="44" spans="1:19" s="454" customFormat="1" ht="14.25" hidden="1" customHeight="1">
      <c r="A44" s="452"/>
      <c r="B44" s="68" t="s">
        <v>69</v>
      </c>
      <c r="C44" s="17"/>
      <c r="D44" s="591"/>
      <c r="E44" s="17"/>
      <c r="F44" s="594" t="s">
        <v>64</v>
      </c>
      <c r="G44" s="455"/>
      <c r="H44" s="597"/>
      <c r="I44" s="3"/>
      <c r="J44" s="600"/>
      <c r="K44" s="3"/>
      <c r="L44" s="610">
        <f t="shared" ref="L44:L50" si="3">IF(H44&gt;0,(J44*D44)/H44,0)</f>
        <v>0</v>
      </c>
      <c r="M44" s="452"/>
      <c r="N44" s="612">
        <f>L44*J36</f>
        <v>0</v>
      </c>
      <c r="O44" s="452"/>
      <c r="P44" s="612">
        <f>IF(Consolidado_A!$G$133&gt;=7.6%,-(0.0165+0.076)*N44,0)</f>
        <v>0</v>
      </c>
      <c r="Q44" s="452"/>
      <c r="R44" s="612">
        <f t="shared" si="2"/>
        <v>0</v>
      </c>
      <c r="S44" s="453"/>
    </row>
    <row r="45" spans="1:19" s="454" customFormat="1" ht="14.25" hidden="1" customHeight="1">
      <c r="A45" s="452"/>
      <c r="B45" s="68" t="s">
        <v>70</v>
      </c>
      <c r="C45" s="17"/>
      <c r="D45" s="591">
        <v>1</v>
      </c>
      <c r="E45" s="17"/>
      <c r="F45" s="594" t="s">
        <v>64</v>
      </c>
      <c r="G45" s="455"/>
      <c r="H45" s="597"/>
      <c r="I45" s="3"/>
      <c r="J45" s="600"/>
      <c r="K45" s="3"/>
      <c r="L45" s="610">
        <f t="shared" si="3"/>
        <v>0</v>
      </c>
      <c r="M45" s="452"/>
      <c r="N45" s="612">
        <f>L45*J36</f>
        <v>0</v>
      </c>
      <c r="O45" s="452"/>
      <c r="P45" s="612">
        <f>IF(Consolidado_A!$G$133&gt;=7.6%,-(0.0165+0.076)*N45,0)</f>
        <v>0</v>
      </c>
      <c r="Q45" s="452"/>
      <c r="R45" s="612">
        <f t="shared" si="2"/>
        <v>0</v>
      </c>
      <c r="S45" s="453"/>
    </row>
    <row r="46" spans="1:19" s="454" customFormat="1" ht="14.25" hidden="1" customHeight="1">
      <c r="A46" s="452"/>
      <c r="B46" s="68" t="s">
        <v>71</v>
      </c>
      <c r="C46" s="17"/>
      <c r="D46" s="591">
        <v>1</v>
      </c>
      <c r="E46" s="17"/>
      <c r="F46" s="594" t="s">
        <v>64</v>
      </c>
      <c r="G46" s="455"/>
      <c r="H46" s="597"/>
      <c r="I46" s="3"/>
      <c r="J46" s="600"/>
      <c r="K46" s="3"/>
      <c r="L46" s="610">
        <f t="shared" si="3"/>
        <v>0</v>
      </c>
      <c r="M46" s="452"/>
      <c r="N46" s="612">
        <f>L46*J36</f>
        <v>0</v>
      </c>
      <c r="O46" s="452"/>
      <c r="P46" s="612">
        <f>IF(Consolidado_A!$G$133&gt;=7.6%,-(0.0165+0.076)*N46,0)</f>
        <v>0</v>
      </c>
      <c r="Q46" s="452"/>
      <c r="R46" s="612">
        <f t="shared" si="2"/>
        <v>0</v>
      </c>
      <c r="S46" s="453"/>
    </row>
    <row r="47" spans="1:19" s="454" customFormat="1" ht="14.25" hidden="1" customHeight="1">
      <c r="A47" s="452"/>
      <c r="B47" s="68" t="s">
        <v>72</v>
      </c>
      <c r="C47" s="17"/>
      <c r="D47" s="591">
        <v>1</v>
      </c>
      <c r="E47" s="17"/>
      <c r="F47" s="594" t="s">
        <v>64</v>
      </c>
      <c r="G47" s="455"/>
      <c r="H47" s="597"/>
      <c r="I47" s="3"/>
      <c r="J47" s="600"/>
      <c r="K47" s="3"/>
      <c r="L47" s="610">
        <f t="shared" si="3"/>
        <v>0</v>
      </c>
      <c r="M47" s="452"/>
      <c r="N47" s="612">
        <f>L47*J36</f>
        <v>0</v>
      </c>
      <c r="O47" s="452"/>
      <c r="P47" s="612">
        <f>IF(Consolidado_A!$G$133&gt;=7.6%,-(0.0165+0.076)*N47,0)</f>
        <v>0</v>
      </c>
      <c r="Q47" s="452"/>
      <c r="R47" s="612">
        <f t="shared" si="2"/>
        <v>0</v>
      </c>
      <c r="S47" s="453"/>
    </row>
    <row r="48" spans="1:19" s="454" customFormat="1" ht="14.25" hidden="1" customHeight="1">
      <c r="A48" s="452"/>
      <c r="B48" s="627" t="s">
        <v>73</v>
      </c>
      <c r="C48" s="456"/>
      <c r="D48" s="591">
        <v>1</v>
      </c>
      <c r="E48" s="456"/>
      <c r="F48" s="595" t="s">
        <v>64</v>
      </c>
      <c r="G48" s="457"/>
      <c r="H48" s="597"/>
      <c r="I48" s="3"/>
      <c r="J48" s="600"/>
      <c r="K48" s="3"/>
      <c r="L48" s="610">
        <f t="shared" si="3"/>
        <v>0</v>
      </c>
      <c r="M48" s="452"/>
      <c r="N48" s="612">
        <f>L48*J36</f>
        <v>0</v>
      </c>
      <c r="O48" s="452"/>
      <c r="P48" s="612">
        <f>IF(Consolidado_A!$G$133&gt;=7.6%,-(0.0165+0.076)*N48,0)</f>
        <v>0</v>
      </c>
      <c r="Q48" s="452"/>
      <c r="R48" s="612">
        <f t="shared" si="2"/>
        <v>0</v>
      </c>
      <c r="S48" s="453"/>
    </row>
    <row r="49" spans="1:20" s="454" customFormat="1" ht="14.25" hidden="1" customHeight="1">
      <c r="A49" s="452"/>
      <c r="B49" s="68" t="s">
        <v>74</v>
      </c>
      <c r="C49" s="17"/>
      <c r="D49" s="591">
        <v>1</v>
      </c>
      <c r="E49" s="17"/>
      <c r="F49" s="595" t="s">
        <v>29</v>
      </c>
      <c r="G49" s="457"/>
      <c r="H49" s="597"/>
      <c r="I49" s="3"/>
      <c r="J49" s="600"/>
      <c r="K49" s="3"/>
      <c r="L49" s="610">
        <f t="shared" si="3"/>
        <v>0</v>
      </c>
      <c r="M49" s="452"/>
      <c r="N49" s="612">
        <f>L49*J36</f>
        <v>0</v>
      </c>
      <c r="O49" s="452"/>
      <c r="P49" s="612">
        <f>IF(Consolidado_A!$G$133&gt;=7.6%,-(0.0165+0.076)*N49,0)</f>
        <v>0</v>
      </c>
      <c r="Q49" s="452"/>
      <c r="R49" s="612">
        <f t="shared" si="2"/>
        <v>0</v>
      </c>
      <c r="S49" s="453"/>
    </row>
    <row r="50" spans="1:20" s="454" customFormat="1" ht="14.25" hidden="1" customHeight="1" thickBot="1">
      <c r="A50" s="452"/>
      <c r="B50" s="57" t="s">
        <v>77</v>
      </c>
      <c r="C50" s="3"/>
      <c r="D50" s="592"/>
      <c r="E50" s="3"/>
      <c r="F50" s="596" t="s">
        <v>29</v>
      </c>
      <c r="G50" s="3"/>
      <c r="H50" s="597"/>
      <c r="I50" s="3"/>
      <c r="J50" s="600"/>
      <c r="K50" s="3"/>
      <c r="L50" s="610">
        <f t="shared" si="3"/>
        <v>0</v>
      </c>
      <c r="M50" s="452"/>
      <c r="N50" s="612">
        <f>L50*J36</f>
        <v>0</v>
      </c>
      <c r="O50" s="452"/>
      <c r="P50" s="612">
        <f>IF(Consolidado_A!$G$133&gt;=7.6%,-(0.0165+0.076)*N50,0)</f>
        <v>0</v>
      </c>
      <c r="Q50" s="452"/>
      <c r="R50" s="612">
        <f t="shared" si="2"/>
        <v>0</v>
      </c>
      <c r="S50" s="453"/>
    </row>
    <row r="51" spans="1:20" ht="14.25" hidden="1" customHeight="1" thickBot="1">
      <c r="A51" s="447"/>
      <c r="B51" s="628" t="s">
        <v>242</v>
      </c>
      <c r="C51" s="3"/>
      <c r="D51" s="454"/>
      <c r="E51" s="3"/>
      <c r="F51" s="457"/>
      <c r="G51" s="3"/>
      <c r="H51" s="599"/>
      <c r="I51" s="3"/>
      <c r="J51" s="510">
        <v>0.01</v>
      </c>
      <c r="K51" s="3"/>
      <c r="L51" s="611">
        <f>IF(H51&gt;0,J51*(R36-(D43*J43))/H51,0)</f>
        <v>0</v>
      </c>
      <c r="M51" s="447"/>
      <c r="N51" s="613">
        <f>L51*J36</f>
        <v>0</v>
      </c>
      <c r="O51" s="447"/>
      <c r="P51" s="613">
        <f>IF(Consolidado_A!$G$133&gt;=7.6%,-(0.0165+0.076)*N51,0)</f>
        <v>0</v>
      </c>
      <c r="Q51" s="447"/>
      <c r="R51" s="613">
        <f t="shared" si="2"/>
        <v>0</v>
      </c>
      <c r="S51" s="448"/>
    </row>
    <row r="52" spans="1:20" ht="4.5" hidden="1" customHeight="1">
      <c r="A52" s="447"/>
      <c r="B52" s="447"/>
      <c r="C52" s="447"/>
      <c r="D52" s="447"/>
      <c r="E52" s="3"/>
      <c r="F52" s="4"/>
      <c r="G52" s="4"/>
      <c r="H52" s="4"/>
      <c r="I52" s="4"/>
      <c r="J52" s="4"/>
      <c r="K52" s="3"/>
      <c r="L52" s="4"/>
      <c r="M52" s="447"/>
      <c r="N52" s="447"/>
      <c r="O52" s="447"/>
      <c r="P52" s="447"/>
      <c r="Q52" s="447"/>
      <c r="R52" s="447"/>
      <c r="S52" s="448"/>
    </row>
    <row r="53" spans="1:20" s="454" customFormat="1" ht="16.5" hidden="1" customHeight="1" thickBot="1">
      <c r="A53" s="452"/>
      <c r="B53" s="3"/>
      <c r="C53" s="3"/>
      <c r="D53" s="43"/>
      <c r="E53" s="3"/>
      <c r="F53" s="3"/>
      <c r="G53" s="3"/>
      <c r="H53" s="458"/>
      <c r="I53" s="35"/>
      <c r="J53" s="629" t="s">
        <v>113</v>
      </c>
      <c r="K53" s="459"/>
      <c r="L53" s="614">
        <f>SUM(L42:L50)</f>
        <v>0</v>
      </c>
      <c r="M53" s="452"/>
      <c r="N53" s="615">
        <f>SUM(N42:N50)</f>
        <v>0</v>
      </c>
      <c r="O53" s="452"/>
      <c r="P53" s="615">
        <f>SUM(P42:P50)</f>
        <v>0</v>
      </c>
      <c r="Q53" s="452"/>
      <c r="R53" s="615">
        <f>SUM(R42:R51)</f>
        <v>0</v>
      </c>
      <c r="S53" s="453"/>
      <c r="T53" s="460"/>
    </row>
    <row r="54" spans="1:20" ht="8.25" hidden="1" customHeight="1">
      <c r="A54" s="447"/>
      <c r="B54" s="4"/>
      <c r="C54" s="4"/>
      <c r="D54" s="10"/>
      <c r="E54" s="3"/>
      <c r="F54" s="461"/>
      <c r="G54" s="4"/>
      <c r="H54" s="447"/>
      <c r="I54" s="447"/>
      <c r="J54" s="462"/>
      <c r="K54" s="3"/>
      <c r="L54" s="4"/>
      <c r="M54" s="447"/>
      <c r="N54" s="447"/>
      <c r="O54" s="447"/>
      <c r="P54" s="447"/>
      <c r="Q54" s="447"/>
      <c r="R54" s="447"/>
      <c r="S54" s="448"/>
    </row>
    <row r="55" spans="1:20" s="464" customFormat="1" ht="16.5" hidden="1" customHeight="1" thickBot="1">
      <c r="A55" s="449"/>
      <c r="B55" s="586"/>
      <c r="C55" s="587"/>
      <c r="D55" s="587"/>
      <c r="E55" s="587"/>
      <c r="F55" s="587"/>
      <c r="G55" s="588"/>
      <c r="H55" s="587"/>
      <c r="I55" s="587"/>
      <c r="J55" s="603" t="s">
        <v>44</v>
      </c>
      <c r="K55" s="587"/>
      <c r="L55" s="587"/>
      <c r="M55" s="588"/>
      <c r="N55" s="588"/>
      <c r="O55" s="588"/>
      <c r="P55" s="588"/>
      <c r="Q55" s="588"/>
      <c r="R55" s="589"/>
      <c r="S55" s="463"/>
    </row>
    <row r="56" spans="1:20" ht="13.5" hidden="1" customHeight="1">
      <c r="A56" s="447"/>
      <c r="B56" s="6"/>
      <c r="C56" s="6"/>
      <c r="D56" s="6"/>
      <c r="E56" s="6"/>
      <c r="F56" s="6"/>
      <c r="G56" s="6"/>
      <c r="H56" s="6"/>
      <c r="I56" s="6"/>
      <c r="J56" s="616" t="s">
        <v>82</v>
      </c>
      <c r="K56" s="465"/>
      <c r="L56" s="616" t="s">
        <v>83</v>
      </c>
      <c r="M56" s="447"/>
      <c r="N56" s="447"/>
      <c r="O56" s="447"/>
      <c r="P56" s="447"/>
      <c r="Q56" s="447"/>
      <c r="R56" s="447"/>
      <c r="S56" s="448"/>
    </row>
    <row r="57" spans="1:20" ht="16.5" hidden="1" customHeight="1" thickBot="1">
      <c r="A57" s="447"/>
      <c r="B57" s="90" t="s">
        <v>243</v>
      </c>
      <c r="C57" s="619"/>
      <c r="D57" s="619"/>
      <c r="E57" s="619"/>
      <c r="F57" s="619"/>
      <c r="G57" s="619"/>
      <c r="H57" s="619"/>
      <c r="I57" s="6"/>
      <c r="J57" s="601">
        <f>R36*3%</f>
        <v>0</v>
      </c>
      <c r="K57" s="6"/>
      <c r="L57" s="617">
        <f>J57/12</f>
        <v>0</v>
      </c>
      <c r="M57" s="447"/>
      <c r="N57" s="447"/>
      <c r="O57" s="447"/>
      <c r="P57" s="447"/>
      <c r="Q57" s="447"/>
      <c r="R57" s="447"/>
      <c r="S57" s="448"/>
    </row>
    <row r="58" spans="1:20" ht="3.75" hidden="1" customHeight="1">
      <c r="A58" s="447"/>
      <c r="B58" s="619"/>
      <c r="C58" s="619"/>
      <c r="D58" s="619"/>
      <c r="E58" s="619"/>
      <c r="F58" s="619"/>
      <c r="G58" s="619"/>
      <c r="H58" s="619"/>
      <c r="I58" s="6"/>
      <c r="J58" s="6"/>
      <c r="K58" s="6"/>
      <c r="L58" s="618"/>
      <c r="M58" s="447"/>
      <c r="N58" s="447"/>
      <c r="O58" s="447"/>
      <c r="P58" s="447"/>
      <c r="Q58" s="447"/>
      <c r="R58" s="447"/>
      <c r="S58" s="448"/>
    </row>
    <row r="59" spans="1:20" ht="16.5" hidden="1" customHeight="1" thickBot="1">
      <c r="A59" s="447"/>
      <c r="B59" s="91" t="s">
        <v>78</v>
      </c>
      <c r="C59" s="619"/>
      <c r="D59" s="619"/>
      <c r="E59" s="619"/>
      <c r="F59" s="619"/>
      <c r="G59" s="619"/>
      <c r="H59" s="619"/>
      <c r="I59" s="6"/>
      <c r="J59" s="601"/>
      <c r="K59" s="6"/>
      <c r="L59" s="617">
        <f>J59/12</f>
        <v>0</v>
      </c>
      <c r="M59" s="447"/>
      <c r="N59" s="447"/>
      <c r="O59" s="447"/>
      <c r="P59" s="516" t="s">
        <v>183</v>
      </c>
      <c r="Q59" s="447"/>
      <c r="R59" s="622">
        <f>L57+L59</f>
        <v>0</v>
      </c>
      <c r="S59" s="448"/>
    </row>
    <row r="60" spans="1:20" hidden="1">
      <c r="A60" s="447"/>
      <c r="B60" s="4"/>
      <c r="C60" s="4"/>
      <c r="D60" s="10"/>
      <c r="E60" s="3"/>
      <c r="F60" s="4"/>
      <c r="G60" s="4"/>
      <c r="H60" s="449"/>
      <c r="I60" s="449"/>
      <c r="J60" s="462"/>
      <c r="K60" s="3"/>
      <c r="L60" s="4"/>
      <c r="M60" s="447"/>
      <c r="N60" s="447"/>
      <c r="O60" s="447"/>
      <c r="P60" s="447"/>
      <c r="Q60" s="447"/>
      <c r="R60" s="447"/>
      <c r="S60" s="448"/>
    </row>
    <row r="61" spans="1:20" ht="21.75" hidden="1" customHeight="1" thickBot="1">
      <c r="A61" s="447"/>
      <c r="B61" s="447"/>
      <c r="C61" s="447"/>
      <c r="D61" s="447"/>
      <c r="E61" s="3"/>
      <c r="F61" s="4"/>
      <c r="G61" s="4"/>
      <c r="H61" s="449"/>
      <c r="I61" s="449"/>
      <c r="J61" s="447"/>
      <c r="K61" s="466"/>
      <c r="L61" s="447"/>
      <c r="M61" s="447"/>
      <c r="N61" s="447"/>
      <c r="O61" s="449"/>
      <c r="P61" s="620" t="s">
        <v>45</v>
      </c>
      <c r="Q61" s="590"/>
      <c r="R61" s="621">
        <f>IF(J36&gt;0,R53+R59,0)</f>
        <v>0</v>
      </c>
      <c r="S61" s="448"/>
    </row>
    <row r="62" spans="1:20" hidden="1"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</row>
    <row r="63" spans="1:20" hidden="1">
      <c r="B63" s="467"/>
      <c r="C63" s="467"/>
      <c r="D63" s="467"/>
      <c r="E63" s="467"/>
      <c r="F63" s="467"/>
      <c r="G63" s="467"/>
      <c r="H63" s="467"/>
      <c r="I63" s="467"/>
      <c r="J63" s="467"/>
      <c r="K63" s="467"/>
      <c r="L63" s="467"/>
    </row>
    <row r="64" spans="1:20" ht="21" hidden="1" customHeight="1" thickBot="1">
      <c r="A64" s="447"/>
      <c r="B64" s="1078" t="s">
        <v>421</v>
      </c>
      <c r="C64" s="1079"/>
      <c r="D64" s="1079"/>
      <c r="E64" s="1079"/>
      <c r="F64" s="1079"/>
      <c r="G64" s="1079"/>
      <c r="H64" s="1079"/>
      <c r="I64" s="1079"/>
      <c r="J64" s="1079"/>
      <c r="K64" s="1079"/>
      <c r="L64" s="1079"/>
      <c r="M64" s="1079"/>
      <c r="N64" s="1079"/>
      <c r="O64" s="1079"/>
      <c r="P64" s="1079"/>
      <c r="Q64" s="1079"/>
      <c r="R64" s="1080"/>
      <c r="S64" s="448"/>
    </row>
    <row r="65" spans="1:19" ht="9" hidden="1" customHeight="1">
      <c r="A65" s="447"/>
      <c r="B65" s="6"/>
      <c r="C65" s="6"/>
      <c r="D65" s="6"/>
      <c r="E65" s="6"/>
      <c r="F65" s="6"/>
      <c r="G65" s="6"/>
      <c r="H65" s="6"/>
      <c r="I65" s="6"/>
      <c r="J65" s="6"/>
      <c r="K65" s="6"/>
      <c r="L65" s="447"/>
      <c r="M65" s="447"/>
      <c r="N65" s="447"/>
      <c r="O65" s="447"/>
      <c r="P65" s="447"/>
      <c r="Q65" s="447"/>
      <c r="R65" s="447"/>
      <c r="S65" s="448"/>
    </row>
    <row r="66" spans="1:19" ht="15.75" hidden="1" customHeight="1" thickBot="1">
      <c r="A66" s="447"/>
      <c r="B66" s="623" t="s">
        <v>16</v>
      </c>
      <c r="C66" s="57"/>
      <c r="D66" s="624"/>
      <c r="E66" s="68"/>
      <c r="F66" s="625"/>
      <c r="G66" s="626"/>
      <c r="H66" s="64"/>
      <c r="I66" s="447"/>
      <c r="J66" s="602"/>
      <c r="K66" s="645" t="s">
        <v>20</v>
      </c>
      <c r="L66" s="448"/>
      <c r="N66" s="626"/>
      <c r="O66" s="447"/>
      <c r="P66" s="646" t="s">
        <v>241</v>
      </c>
      <c r="Q66" s="447"/>
      <c r="R66" s="601"/>
      <c r="S66" s="448"/>
    </row>
    <row r="67" spans="1:19" ht="9" hidden="1" customHeight="1">
      <c r="A67" s="447"/>
      <c r="B67" s="3"/>
      <c r="C67" s="3"/>
      <c r="D67" s="8"/>
      <c r="E67" s="17"/>
      <c r="F67" s="449"/>
      <c r="G67" s="3"/>
      <c r="H67" s="449"/>
      <c r="I67" s="449"/>
      <c r="J67" s="450"/>
      <c r="K67" s="447"/>
      <c r="L67" s="451"/>
      <c r="M67" s="447"/>
      <c r="N67" s="447"/>
      <c r="O67" s="447"/>
      <c r="P67" s="447"/>
      <c r="Q67" s="447"/>
      <c r="R67" s="447"/>
      <c r="S67" s="448"/>
    </row>
    <row r="68" spans="1:19" ht="16.5" hidden="1" customHeight="1" thickBot="1">
      <c r="A68" s="447"/>
      <c r="B68" s="604"/>
      <c r="C68" s="603"/>
      <c r="D68" s="603"/>
      <c r="E68" s="603"/>
      <c r="F68" s="603"/>
      <c r="G68" s="495"/>
      <c r="H68" s="603"/>
      <c r="I68" s="603"/>
      <c r="J68" s="603" t="s">
        <v>19</v>
      </c>
      <c r="K68" s="603"/>
      <c r="L68" s="603"/>
      <c r="M68" s="495"/>
      <c r="N68" s="495"/>
      <c r="O68" s="495"/>
      <c r="P68" s="495"/>
      <c r="Q68" s="495"/>
      <c r="R68" s="496"/>
      <c r="S68" s="448"/>
    </row>
    <row r="69" spans="1:19" ht="6.75" hidden="1" customHeight="1">
      <c r="A69" s="447"/>
      <c r="B69" s="3"/>
      <c r="C69" s="3"/>
      <c r="D69" s="3"/>
      <c r="E69" s="3"/>
      <c r="F69" s="4"/>
      <c r="G69" s="4"/>
      <c r="H69" s="4"/>
      <c r="I69" s="4"/>
      <c r="J69" s="4"/>
      <c r="K69" s="3"/>
      <c r="L69" s="447"/>
      <c r="M69" s="447"/>
      <c r="N69" s="447"/>
      <c r="O69" s="447"/>
      <c r="P69" s="447"/>
      <c r="Q69" s="447"/>
      <c r="R69" s="447"/>
      <c r="S69" s="448"/>
    </row>
    <row r="70" spans="1:19" ht="25.5" hidden="1" customHeight="1" thickBot="1">
      <c r="A70" s="447"/>
      <c r="B70" s="605" t="s">
        <v>102</v>
      </c>
      <c r="C70" s="606"/>
      <c r="D70" s="603" t="s">
        <v>66</v>
      </c>
      <c r="E70" s="606"/>
      <c r="F70" s="607" t="s">
        <v>67</v>
      </c>
      <c r="G70" s="607"/>
      <c r="H70" s="606" t="s">
        <v>68</v>
      </c>
      <c r="I70" s="537"/>
      <c r="J70" s="603" t="s">
        <v>65</v>
      </c>
      <c r="K70" s="537"/>
      <c r="L70" s="603" t="s">
        <v>18</v>
      </c>
      <c r="M70" s="495"/>
      <c r="N70" s="603" t="s">
        <v>17</v>
      </c>
      <c r="O70" s="495"/>
      <c r="P70" s="608" t="s">
        <v>86</v>
      </c>
      <c r="Q70" s="495"/>
      <c r="R70" s="609" t="s">
        <v>113</v>
      </c>
      <c r="S70" s="448"/>
    </row>
    <row r="71" spans="1:19" hidden="1">
      <c r="A71" s="447"/>
      <c r="B71" s="42"/>
      <c r="C71" s="42"/>
      <c r="D71" s="6"/>
      <c r="E71" s="42"/>
      <c r="F71" s="6"/>
      <c r="G71" s="6"/>
      <c r="H71" s="42"/>
      <c r="I71" s="3"/>
      <c r="J71" s="6"/>
      <c r="K71" s="3"/>
      <c r="L71" s="4"/>
      <c r="M71" s="447"/>
      <c r="N71" s="447"/>
      <c r="O71" s="447"/>
      <c r="P71" s="447"/>
      <c r="Q71" s="447"/>
      <c r="R71" s="447"/>
      <c r="S71" s="448"/>
    </row>
    <row r="72" spans="1:19" s="454" customFormat="1" ht="14.25" hidden="1" customHeight="1">
      <c r="A72" s="452"/>
      <c r="B72" s="68" t="s">
        <v>76</v>
      </c>
      <c r="C72" s="42"/>
      <c r="D72" s="591">
        <v>4</v>
      </c>
      <c r="E72" s="17"/>
      <c r="F72" s="593" t="s">
        <v>29</v>
      </c>
      <c r="G72" s="42"/>
      <c r="H72" s="597"/>
      <c r="I72" s="3"/>
      <c r="J72" s="600"/>
      <c r="K72" s="3"/>
      <c r="L72" s="610">
        <f>IF(H72&gt;0,(J72*D72)/H72,0)</f>
        <v>0</v>
      </c>
      <c r="M72" s="452"/>
      <c r="N72" s="612">
        <f>L72*J66</f>
        <v>0</v>
      </c>
      <c r="O72" s="452"/>
      <c r="P72" s="612">
        <f>IF(Consolidado_A!$G$133&gt;=7.6%,-(0.0165+0.076)*N72,0)</f>
        <v>0</v>
      </c>
      <c r="Q72" s="452"/>
      <c r="R72" s="612">
        <f t="shared" ref="R72:R81" si="4">N72+P72</f>
        <v>0</v>
      </c>
      <c r="S72" s="453"/>
    </row>
    <row r="73" spans="1:19" s="454" customFormat="1" ht="14.25" hidden="1" customHeight="1">
      <c r="A73" s="452"/>
      <c r="B73" s="68" t="s">
        <v>75</v>
      </c>
      <c r="C73" s="17"/>
      <c r="D73" s="591">
        <v>1</v>
      </c>
      <c r="E73" s="17"/>
      <c r="F73" s="593" t="s">
        <v>64</v>
      </c>
      <c r="G73" s="42"/>
      <c r="H73" s="598"/>
      <c r="I73" s="3"/>
      <c r="J73" s="600"/>
      <c r="K73" s="3"/>
      <c r="L73" s="610">
        <f>IF(H73&gt;0,(J73/H73),0)</f>
        <v>0</v>
      </c>
      <c r="M73" s="452"/>
      <c r="N73" s="612">
        <f>L73*J66</f>
        <v>0</v>
      </c>
      <c r="O73" s="452"/>
      <c r="P73" s="612">
        <f>IF(Consolidado_A!$G$133&gt;=7.6%,-(0.0165+0.076)*N73,0)</f>
        <v>0</v>
      </c>
      <c r="Q73" s="452"/>
      <c r="R73" s="612">
        <f t="shared" si="4"/>
        <v>0</v>
      </c>
      <c r="S73" s="453"/>
    </row>
    <row r="74" spans="1:19" s="454" customFormat="1" ht="14.25" hidden="1" customHeight="1">
      <c r="A74" s="452"/>
      <c r="B74" s="68" t="s">
        <v>69</v>
      </c>
      <c r="C74" s="17"/>
      <c r="D74" s="591"/>
      <c r="E74" s="17"/>
      <c r="F74" s="594" t="s">
        <v>64</v>
      </c>
      <c r="G74" s="455"/>
      <c r="H74" s="597"/>
      <c r="I74" s="3"/>
      <c r="J74" s="600"/>
      <c r="K74" s="3"/>
      <c r="L74" s="610">
        <f t="shared" ref="L74:L80" si="5">IF(H74&gt;0,(J74*D74)/H74,0)</f>
        <v>0</v>
      </c>
      <c r="M74" s="452"/>
      <c r="N74" s="612">
        <f>L74*J66</f>
        <v>0</v>
      </c>
      <c r="O74" s="452"/>
      <c r="P74" s="612">
        <f>IF(Consolidado_A!$G$133&gt;=7.6%,-(0.0165+0.076)*N74,0)</f>
        <v>0</v>
      </c>
      <c r="Q74" s="452"/>
      <c r="R74" s="612">
        <f t="shared" si="4"/>
        <v>0</v>
      </c>
      <c r="S74" s="453"/>
    </row>
    <row r="75" spans="1:19" s="454" customFormat="1" ht="14.25" hidden="1" customHeight="1">
      <c r="A75" s="452"/>
      <c r="B75" s="68" t="s">
        <v>70</v>
      </c>
      <c r="C75" s="17"/>
      <c r="D75" s="591">
        <v>1</v>
      </c>
      <c r="E75" s="17"/>
      <c r="F75" s="594" t="s">
        <v>64</v>
      </c>
      <c r="G75" s="455"/>
      <c r="H75" s="597"/>
      <c r="I75" s="3"/>
      <c r="J75" s="600"/>
      <c r="K75" s="3"/>
      <c r="L75" s="610">
        <f t="shared" si="5"/>
        <v>0</v>
      </c>
      <c r="M75" s="452"/>
      <c r="N75" s="612">
        <f>L75*J66</f>
        <v>0</v>
      </c>
      <c r="O75" s="452"/>
      <c r="P75" s="612">
        <f>IF(Consolidado_A!$G$133&gt;=7.6%,-(0.0165+0.076)*N75,0)</f>
        <v>0</v>
      </c>
      <c r="Q75" s="452"/>
      <c r="R75" s="612">
        <f t="shared" si="4"/>
        <v>0</v>
      </c>
      <c r="S75" s="453"/>
    </row>
    <row r="76" spans="1:19" s="454" customFormat="1" ht="14.25" hidden="1" customHeight="1">
      <c r="A76" s="452"/>
      <c r="B76" s="68" t="s">
        <v>71</v>
      </c>
      <c r="C76" s="17"/>
      <c r="D76" s="591">
        <v>1</v>
      </c>
      <c r="E76" s="17"/>
      <c r="F76" s="594" t="s">
        <v>64</v>
      </c>
      <c r="G76" s="455"/>
      <c r="H76" s="597"/>
      <c r="I76" s="3"/>
      <c r="J76" s="600"/>
      <c r="K76" s="3"/>
      <c r="L76" s="610">
        <f t="shared" si="5"/>
        <v>0</v>
      </c>
      <c r="M76" s="452"/>
      <c r="N76" s="612">
        <f>L76*J66</f>
        <v>0</v>
      </c>
      <c r="O76" s="452"/>
      <c r="P76" s="612">
        <f>IF(Consolidado_A!$G$133&gt;=7.6%,-(0.0165+0.076)*N76,0)</f>
        <v>0</v>
      </c>
      <c r="Q76" s="452"/>
      <c r="R76" s="612">
        <f t="shared" si="4"/>
        <v>0</v>
      </c>
      <c r="S76" s="453"/>
    </row>
    <row r="77" spans="1:19" s="454" customFormat="1" ht="14.25" hidden="1" customHeight="1">
      <c r="A77" s="452"/>
      <c r="B77" s="68" t="s">
        <v>72</v>
      </c>
      <c r="C77" s="17"/>
      <c r="D77" s="591">
        <v>1</v>
      </c>
      <c r="E77" s="17"/>
      <c r="F77" s="594" t="s">
        <v>64</v>
      </c>
      <c r="G77" s="455"/>
      <c r="H77" s="597"/>
      <c r="I77" s="3"/>
      <c r="J77" s="600"/>
      <c r="K77" s="3"/>
      <c r="L77" s="610">
        <f t="shared" si="5"/>
        <v>0</v>
      </c>
      <c r="M77" s="452"/>
      <c r="N77" s="612">
        <f>L77*J66</f>
        <v>0</v>
      </c>
      <c r="O77" s="452"/>
      <c r="P77" s="612">
        <f>IF(Consolidado_A!$G$133&gt;=7.6%,-(0.0165+0.076)*N77,0)</f>
        <v>0</v>
      </c>
      <c r="Q77" s="452"/>
      <c r="R77" s="612">
        <f t="shared" si="4"/>
        <v>0</v>
      </c>
      <c r="S77" s="453"/>
    </row>
    <row r="78" spans="1:19" s="454" customFormat="1" ht="14.25" hidden="1" customHeight="1">
      <c r="A78" s="452"/>
      <c r="B78" s="627" t="s">
        <v>73</v>
      </c>
      <c r="C78" s="456"/>
      <c r="D78" s="591">
        <v>1</v>
      </c>
      <c r="E78" s="456"/>
      <c r="F78" s="595" t="s">
        <v>64</v>
      </c>
      <c r="G78" s="457"/>
      <c r="H78" s="597"/>
      <c r="I78" s="3"/>
      <c r="J78" s="600"/>
      <c r="K78" s="3"/>
      <c r="L78" s="610">
        <f t="shared" si="5"/>
        <v>0</v>
      </c>
      <c r="M78" s="452"/>
      <c r="N78" s="612">
        <f>L78*J66</f>
        <v>0</v>
      </c>
      <c r="O78" s="452"/>
      <c r="P78" s="612">
        <f>IF(Consolidado_A!$G$133&gt;=7.6%,-(0.0165+0.076)*N78,0)</f>
        <v>0</v>
      </c>
      <c r="Q78" s="452"/>
      <c r="R78" s="612">
        <f t="shared" si="4"/>
        <v>0</v>
      </c>
      <c r="S78" s="453"/>
    </row>
    <row r="79" spans="1:19" s="454" customFormat="1" ht="14.25" hidden="1" customHeight="1">
      <c r="A79" s="452"/>
      <c r="B79" s="68" t="s">
        <v>74</v>
      </c>
      <c r="C79" s="17"/>
      <c r="D79" s="591">
        <v>1</v>
      </c>
      <c r="E79" s="17"/>
      <c r="F79" s="595" t="s">
        <v>29</v>
      </c>
      <c r="G79" s="457"/>
      <c r="H79" s="597"/>
      <c r="I79" s="3"/>
      <c r="J79" s="600"/>
      <c r="K79" s="3"/>
      <c r="L79" s="610">
        <f t="shared" si="5"/>
        <v>0</v>
      </c>
      <c r="M79" s="452"/>
      <c r="N79" s="612">
        <f>L79*J66</f>
        <v>0</v>
      </c>
      <c r="O79" s="452"/>
      <c r="P79" s="612">
        <f>IF(Consolidado_A!$G$133&gt;=7.6%,-(0.0165+0.076)*N79,0)</f>
        <v>0</v>
      </c>
      <c r="Q79" s="452"/>
      <c r="R79" s="612">
        <f t="shared" si="4"/>
        <v>0</v>
      </c>
      <c r="S79" s="453"/>
    </row>
    <row r="80" spans="1:19" s="454" customFormat="1" ht="14.25" hidden="1" customHeight="1" thickBot="1">
      <c r="A80" s="452"/>
      <c r="B80" s="57" t="s">
        <v>77</v>
      </c>
      <c r="C80" s="3"/>
      <c r="D80" s="592"/>
      <c r="E80" s="3"/>
      <c r="F80" s="596" t="s">
        <v>29</v>
      </c>
      <c r="G80" s="3"/>
      <c r="H80" s="597"/>
      <c r="I80" s="3"/>
      <c r="J80" s="600"/>
      <c r="K80" s="3"/>
      <c r="L80" s="610">
        <f t="shared" si="5"/>
        <v>0</v>
      </c>
      <c r="M80" s="452"/>
      <c r="N80" s="612">
        <f>L80*J66</f>
        <v>0</v>
      </c>
      <c r="O80" s="452"/>
      <c r="P80" s="612">
        <f>IF(Consolidado_A!$G$133&gt;=7.6%,-(0.0165+0.076)*N80,0)</f>
        <v>0</v>
      </c>
      <c r="Q80" s="452"/>
      <c r="R80" s="612">
        <f t="shared" si="4"/>
        <v>0</v>
      </c>
      <c r="S80" s="453"/>
    </row>
    <row r="81" spans="1:20" ht="14.25" hidden="1" customHeight="1" thickBot="1">
      <c r="A81" s="447"/>
      <c r="B81" s="628" t="s">
        <v>242</v>
      </c>
      <c r="C81" s="3"/>
      <c r="D81" s="454"/>
      <c r="E81" s="3"/>
      <c r="F81" s="457"/>
      <c r="G81" s="3"/>
      <c r="H81" s="599"/>
      <c r="I81" s="3"/>
      <c r="J81" s="510">
        <v>0.01</v>
      </c>
      <c r="K81" s="3"/>
      <c r="L81" s="611">
        <f>IF(H81&gt;0,J81*(R66-(D73*J73))/H81,0)</f>
        <v>0</v>
      </c>
      <c r="M81" s="447"/>
      <c r="N81" s="613">
        <f>L81*J66</f>
        <v>0</v>
      </c>
      <c r="O81" s="447"/>
      <c r="P81" s="613">
        <f>IF(Consolidado_A!$G$133&gt;=7.6%,-(0.0165+0.076)*N81,0)</f>
        <v>0</v>
      </c>
      <c r="Q81" s="447"/>
      <c r="R81" s="613">
        <f t="shared" si="4"/>
        <v>0</v>
      </c>
      <c r="S81" s="448"/>
    </row>
    <row r="82" spans="1:20" ht="4.5" hidden="1" customHeight="1">
      <c r="A82" s="447"/>
      <c r="B82" s="447"/>
      <c r="C82" s="447"/>
      <c r="D82" s="447"/>
      <c r="E82" s="3"/>
      <c r="F82" s="4"/>
      <c r="G82" s="4"/>
      <c r="H82" s="4"/>
      <c r="I82" s="4"/>
      <c r="J82" s="4"/>
      <c r="K82" s="3"/>
      <c r="L82" s="4"/>
      <c r="M82" s="447"/>
      <c r="N82" s="447"/>
      <c r="O82" s="447"/>
      <c r="P82" s="447"/>
      <c r="Q82" s="447"/>
      <c r="R82" s="447"/>
      <c r="S82" s="448"/>
    </row>
    <row r="83" spans="1:20" s="454" customFormat="1" ht="16.5" hidden="1" customHeight="1" thickBot="1">
      <c r="A83" s="452"/>
      <c r="B83" s="3"/>
      <c r="C83" s="3"/>
      <c r="D83" s="43"/>
      <c r="E83" s="3"/>
      <c r="F83" s="3"/>
      <c r="G83" s="3"/>
      <c r="H83" s="458"/>
      <c r="I83" s="35"/>
      <c r="J83" s="629" t="s">
        <v>113</v>
      </c>
      <c r="K83" s="459"/>
      <c r="L83" s="614">
        <f>SUM(L72:L80)</f>
        <v>0</v>
      </c>
      <c r="M83" s="452"/>
      <c r="N83" s="615">
        <f>SUM(N72:N80)</f>
        <v>0</v>
      </c>
      <c r="O83" s="452"/>
      <c r="P83" s="615">
        <f>SUM(P72:P80)</f>
        <v>0</v>
      </c>
      <c r="Q83" s="452"/>
      <c r="R83" s="615">
        <f>SUM(R72:R81)</f>
        <v>0</v>
      </c>
      <c r="S83" s="453"/>
      <c r="T83" s="460"/>
    </row>
    <row r="84" spans="1:20" ht="8.25" hidden="1" customHeight="1">
      <c r="A84" s="447"/>
      <c r="B84" s="4"/>
      <c r="C84" s="4"/>
      <c r="D84" s="10"/>
      <c r="E84" s="3"/>
      <c r="F84" s="461"/>
      <c r="G84" s="4"/>
      <c r="H84" s="447"/>
      <c r="I84" s="447"/>
      <c r="J84" s="462"/>
      <c r="K84" s="3"/>
      <c r="L84" s="4"/>
      <c r="M84" s="447"/>
      <c r="N84" s="447"/>
      <c r="O84" s="447"/>
      <c r="P84" s="447"/>
      <c r="Q84" s="447"/>
      <c r="R84" s="447"/>
      <c r="S84" s="448"/>
    </row>
    <row r="85" spans="1:20" s="464" customFormat="1" ht="16.5" hidden="1" customHeight="1" thickBot="1">
      <c r="A85" s="449"/>
      <c r="B85" s="586"/>
      <c r="C85" s="587"/>
      <c r="D85" s="587"/>
      <c r="E85" s="587"/>
      <c r="F85" s="587"/>
      <c r="G85" s="588"/>
      <c r="H85" s="587"/>
      <c r="I85" s="587"/>
      <c r="J85" s="603" t="s">
        <v>44</v>
      </c>
      <c r="K85" s="587"/>
      <c r="L85" s="587"/>
      <c r="M85" s="588"/>
      <c r="N85" s="588"/>
      <c r="O85" s="588"/>
      <c r="P85" s="588"/>
      <c r="Q85" s="588"/>
      <c r="R85" s="589"/>
      <c r="S85" s="463"/>
    </row>
    <row r="86" spans="1:20" ht="13.5" hidden="1" customHeight="1">
      <c r="A86" s="447"/>
      <c r="B86" s="6"/>
      <c r="C86" s="6"/>
      <c r="D86" s="6"/>
      <c r="E86" s="6"/>
      <c r="F86" s="6"/>
      <c r="G86" s="6"/>
      <c r="H86" s="6"/>
      <c r="I86" s="6"/>
      <c r="J86" s="616" t="s">
        <v>82</v>
      </c>
      <c r="K86" s="465"/>
      <c r="L86" s="616" t="s">
        <v>83</v>
      </c>
      <c r="M86" s="447"/>
      <c r="N86" s="447"/>
      <c r="O86" s="447"/>
      <c r="P86" s="447"/>
      <c r="Q86" s="447"/>
      <c r="R86" s="447"/>
      <c r="S86" s="448"/>
    </row>
    <row r="87" spans="1:20" ht="16.5" hidden="1" customHeight="1" thickBot="1">
      <c r="A87" s="447"/>
      <c r="B87" s="90" t="s">
        <v>243</v>
      </c>
      <c r="C87" s="619"/>
      <c r="D87" s="619"/>
      <c r="E87" s="619"/>
      <c r="F87" s="619"/>
      <c r="G87" s="619"/>
      <c r="H87" s="619"/>
      <c r="I87" s="6"/>
      <c r="J87" s="601">
        <f>R66*3%</f>
        <v>0</v>
      </c>
      <c r="K87" s="6"/>
      <c r="L87" s="617">
        <f>J87/12</f>
        <v>0</v>
      </c>
      <c r="M87" s="447"/>
      <c r="N87" s="447"/>
      <c r="O87" s="447"/>
      <c r="P87" s="447"/>
      <c r="Q87" s="447"/>
      <c r="R87" s="447"/>
      <c r="S87" s="448"/>
    </row>
    <row r="88" spans="1:20" ht="3.75" hidden="1" customHeight="1">
      <c r="A88" s="447"/>
      <c r="B88" s="619"/>
      <c r="C88" s="619"/>
      <c r="D88" s="619"/>
      <c r="E88" s="619"/>
      <c r="F88" s="619"/>
      <c r="G88" s="619"/>
      <c r="H88" s="619"/>
      <c r="I88" s="6"/>
      <c r="J88" s="6"/>
      <c r="K88" s="6"/>
      <c r="L88" s="618"/>
      <c r="M88" s="447"/>
      <c r="N88" s="447"/>
      <c r="O88" s="447"/>
      <c r="P88" s="447"/>
      <c r="Q88" s="447"/>
      <c r="R88" s="447"/>
      <c r="S88" s="448"/>
    </row>
    <row r="89" spans="1:20" ht="16.5" hidden="1" customHeight="1" thickBot="1">
      <c r="A89" s="447"/>
      <c r="B89" s="91" t="s">
        <v>78</v>
      </c>
      <c r="C89" s="619"/>
      <c r="D89" s="619"/>
      <c r="E89" s="619"/>
      <c r="F89" s="619"/>
      <c r="G89" s="619"/>
      <c r="H89" s="619"/>
      <c r="I89" s="6"/>
      <c r="J89" s="601"/>
      <c r="K89" s="6"/>
      <c r="L89" s="617">
        <f>J89/12</f>
        <v>0</v>
      </c>
      <c r="M89" s="447"/>
      <c r="N89" s="447"/>
      <c r="O89" s="447"/>
      <c r="P89" s="516" t="s">
        <v>183</v>
      </c>
      <c r="Q89" s="447"/>
      <c r="R89" s="622">
        <f>L87+L89</f>
        <v>0</v>
      </c>
      <c r="S89" s="448"/>
    </row>
    <row r="90" spans="1:20" hidden="1">
      <c r="A90" s="447"/>
      <c r="B90" s="4"/>
      <c r="C90" s="4"/>
      <c r="D90" s="10"/>
      <c r="E90" s="3"/>
      <c r="F90" s="4"/>
      <c r="G90" s="4"/>
      <c r="H90" s="449"/>
      <c r="I90" s="449"/>
      <c r="J90" s="462"/>
      <c r="K90" s="3"/>
      <c r="L90" s="4"/>
      <c r="M90" s="447"/>
      <c r="N90" s="447"/>
      <c r="O90" s="447"/>
      <c r="P90" s="447"/>
      <c r="Q90" s="447"/>
      <c r="R90" s="447"/>
      <c r="S90" s="448"/>
    </row>
    <row r="91" spans="1:20" ht="21.75" hidden="1" customHeight="1" thickBot="1">
      <c r="A91" s="447"/>
      <c r="B91" s="447"/>
      <c r="C91" s="447"/>
      <c r="D91" s="447"/>
      <c r="E91" s="3"/>
      <c r="F91" s="4"/>
      <c r="G91" s="4"/>
      <c r="H91" s="449"/>
      <c r="I91" s="449"/>
      <c r="J91" s="447"/>
      <c r="K91" s="466"/>
      <c r="L91" s="447"/>
      <c r="M91" s="447"/>
      <c r="N91" s="447"/>
      <c r="O91" s="449"/>
      <c r="P91" s="620" t="s">
        <v>45</v>
      </c>
      <c r="Q91" s="590"/>
      <c r="R91" s="621">
        <f>IF(J66&gt;0,R83+R89,0)</f>
        <v>0</v>
      </c>
      <c r="S91" s="448"/>
    </row>
    <row r="92" spans="1:20" hidden="1"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</row>
    <row r="93" spans="1:20" hidden="1"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</row>
    <row r="94" spans="1:20" ht="21" hidden="1" customHeight="1" thickBot="1">
      <c r="A94" s="447"/>
      <c r="B94" s="1078" t="s">
        <v>421</v>
      </c>
      <c r="C94" s="1079"/>
      <c r="D94" s="1079"/>
      <c r="E94" s="1079"/>
      <c r="F94" s="1079"/>
      <c r="G94" s="1079"/>
      <c r="H94" s="1079"/>
      <c r="I94" s="1079"/>
      <c r="J94" s="1079"/>
      <c r="K94" s="1079"/>
      <c r="L94" s="1079"/>
      <c r="M94" s="1079"/>
      <c r="N94" s="1079"/>
      <c r="O94" s="1079"/>
      <c r="P94" s="1079"/>
      <c r="Q94" s="1079"/>
      <c r="R94" s="1080"/>
      <c r="S94" s="448"/>
    </row>
    <row r="95" spans="1:20" ht="9" hidden="1" customHeight="1">
      <c r="A95" s="447"/>
      <c r="B95" s="6"/>
      <c r="C95" s="6"/>
      <c r="D95" s="6"/>
      <c r="E95" s="6"/>
      <c r="F95" s="6"/>
      <c r="G95" s="6"/>
      <c r="H95" s="6"/>
      <c r="I95" s="6"/>
      <c r="J95" s="6"/>
      <c r="K95" s="6"/>
      <c r="L95" s="447"/>
      <c r="M95" s="447"/>
      <c r="N95" s="447"/>
      <c r="O95" s="447"/>
      <c r="P95" s="447"/>
      <c r="Q95" s="447"/>
      <c r="R95" s="447"/>
      <c r="S95" s="448"/>
    </row>
    <row r="96" spans="1:20" ht="15.75" hidden="1" customHeight="1" thickBot="1">
      <c r="A96" s="447"/>
      <c r="B96" s="623" t="s">
        <v>16</v>
      </c>
      <c r="C96" s="57"/>
      <c r="D96" s="624"/>
      <c r="E96" s="68"/>
      <c r="F96" s="625"/>
      <c r="G96" s="626"/>
      <c r="H96" s="64"/>
      <c r="I96" s="447"/>
      <c r="J96" s="602"/>
      <c r="K96" s="645" t="s">
        <v>20</v>
      </c>
      <c r="L96" s="448"/>
      <c r="N96" s="626"/>
      <c r="O96" s="447"/>
      <c r="P96" s="646" t="s">
        <v>241</v>
      </c>
      <c r="Q96" s="447"/>
      <c r="R96" s="601"/>
      <c r="S96" s="448"/>
    </row>
    <row r="97" spans="1:19" ht="9" hidden="1" customHeight="1">
      <c r="A97" s="447"/>
      <c r="B97" s="3"/>
      <c r="C97" s="3"/>
      <c r="D97" s="8"/>
      <c r="E97" s="17"/>
      <c r="F97" s="449"/>
      <c r="G97" s="3"/>
      <c r="H97" s="449"/>
      <c r="I97" s="449"/>
      <c r="J97" s="450"/>
      <c r="K97" s="447"/>
      <c r="L97" s="451"/>
      <c r="M97" s="447"/>
      <c r="N97" s="447"/>
      <c r="O97" s="447"/>
      <c r="P97" s="447"/>
      <c r="Q97" s="447"/>
      <c r="R97" s="447"/>
      <c r="S97" s="448"/>
    </row>
    <row r="98" spans="1:19" ht="16.5" hidden="1" customHeight="1" thickBot="1">
      <c r="A98" s="447"/>
      <c r="B98" s="604"/>
      <c r="C98" s="603"/>
      <c r="D98" s="603"/>
      <c r="E98" s="603"/>
      <c r="F98" s="603"/>
      <c r="G98" s="495"/>
      <c r="H98" s="603"/>
      <c r="I98" s="603"/>
      <c r="J98" s="603" t="s">
        <v>19</v>
      </c>
      <c r="K98" s="603"/>
      <c r="L98" s="603"/>
      <c r="M98" s="495"/>
      <c r="N98" s="495"/>
      <c r="O98" s="495"/>
      <c r="P98" s="495"/>
      <c r="Q98" s="495"/>
      <c r="R98" s="496"/>
      <c r="S98" s="448"/>
    </row>
    <row r="99" spans="1:19" ht="6.75" hidden="1" customHeight="1">
      <c r="A99" s="447"/>
      <c r="B99" s="3"/>
      <c r="C99" s="3"/>
      <c r="D99" s="3"/>
      <c r="E99" s="3"/>
      <c r="F99" s="4"/>
      <c r="G99" s="4"/>
      <c r="H99" s="4"/>
      <c r="I99" s="4"/>
      <c r="J99" s="4"/>
      <c r="K99" s="3"/>
      <c r="L99" s="447"/>
      <c r="M99" s="447"/>
      <c r="N99" s="447"/>
      <c r="O99" s="447"/>
      <c r="P99" s="447"/>
      <c r="Q99" s="447"/>
      <c r="R99" s="447"/>
      <c r="S99" s="448"/>
    </row>
    <row r="100" spans="1:19" ht="25.5" hidden="1" customHeight="1" thickBot="1">
      <c r="A100" s="447"/>
      <c r="B100" s="605" t="s">
        <v>102</v>
      </c>
      <c r="C100" s="606"/>
      <c r="D100" s="603" t="s">
        <v>66</v>
      </c>
      <c r="E100" s="606"/>
      <c r="F100" s="607" t="s">
        <v>67</v>
      </c>
      <c r="G100" s="607"/>
      <c r="H100" s="606" t="s">
        <v>68</v>
      </c>
      <c r="I100" s="537"/>
      <c r="J100" s="603" t="s">
        <v>65</v>
      </c>
      <c r="K100" s="537"/>
      <c r="L100" s="603" t="s">
        <v>18</v>
      </c>
      <c r="M100" s="495"/>
      <c r="N100" s="603" t="s">
        <v>17</v>
      </c>
      <c r="O100" s="495"/>
      <c r="P100" s="608" t="s">
        <v>86</v>
      </c>
      <c r="Q100" s="495"/>
      <c r="R100" s="609" t="s">
        <v>113</v>
      </c>
      <c r="S100" s="448"/>
    </row>
    <row r="101" spans="1:19" hidden="1">
      <c r="A101" s="447"/>
      <c r="B101" s="42"/>
      <c r="C101" s="42"/>
      <c r="D101" s="6"/>
      <c r="E101" s="42"/>
      <c r="F101" s="6"/>
      <c r="G101" s="6"/>
      <c r="H101" s="42"/>
      <c r="I101" s="3"/>
      <c r="J101" s="6"/>
      <c r="K101" s="3"/>
      <c r="L101" s="4"/>
      <c r="M101" s="447"/>
      <c r="N101" s="447"/>
      <c r="O101" s="447"/>
      <c r="P101" s="447"/>
      <c r="Q101" s="447"/>
      <c r="R101" s="447"/>
      <c r="S101" s="448"/>
    </row>
    <row r="102" spans="1:19" s="454" customFormat="1" ht="14.25" hidden="1" customHeight="1">
      <c r="A102" s="452"/>
      <c r="B102" s="68" t="s">
        <v>76</v>
      </c>
      <c r="C102" s="42"/>
      <c r="D102" s="591">
        <v>4</v>
      </c>
      <c r="E102" s="17"/>
      <c r="F102" s="593" t="s">
        <v>29</v>
      </c>
      <c r="G102" s="42"/>
      <c r="H102" s="597"/>
      <c r="I102" s="3"/>
      <c r="J102" s="600"/>
      <c r="K102" s="3"/>
      <c r="L102" s="610">
        <f>IF(H102&gt;0,(J102*D102)/H102,0)</f>
        <v>0</v>
      </c>
      <c r="M102" s="452"/>
      <c r="N102" s="612">
        <f>L102*J96</f>
        <v>0</v>
      </c>
      <c r="O102" s="452"/>
      <c r="P102" s="612">
        <f>IF(Consolidado_A!$G$133&gt;=7.6%,-(0.0165+0.076)*N102,0)</f>
        <v>0</v>
      </c>
      <c r="Q102" s="452"/>
      <c r="R102" s="612">
        <f t="shared" ref="R102:R111" si="6">N102+P102</f>
        <v>0</v>
      </c>
      <c r="S102" s="453"/>
    </row>
    <row r="103" spans="1:19" s="454" customFormat="1" ht="14.25" hidden="1" customHeight="1">
      <c r="A103" s="452"/>
      <c r="B103" s="68" t="s">
        <v>75</v>
      </c>
      <c r="C103" s="17"/>
      <c r="D103" s="591">
        <v>1</v>
      </c>
      <c r="E103" s="17"/>
      <c r="F103" s="593" t="s">
        <v>64</v>
      </c>
      <c r="G103" s="42"/>
      <c r="H103" s="598"/>
      <c r="I103" s="3"/>
      <c r="J103" s="600"/>
      <c r="K103" s="3"/>
      <c r="L103" s="610">
        <f>IF(H103&gt;0,(J103/H103),0)</f>
        <v>0</v>
      </c>
      <c r="M103" s="452"/>
      <c r="N103" s="612">
        <f>L103*J96</f>
        <v>0</v>
      </c>
      <c r="O103" s="452"/>
      <c r="P103" s="612">
        <f>IF(Consolidado_A!$G$133&gt;=7.6%,-(0.0165+0.076)*N103,0)</f>
        <v>0</v>
      </c>
      <c r="Q103" s="452"/>
      <c r="R103" s="612">
        <f t="shared" si="6"/>
        <v>0</v>
      </c>
      <c r="S103" s="453"/>
    </row>
    <row r="104" spans="1:19" s="454" customFormat="1" ht="14.25" hidden="1" customHeight="1">
      <c r="A104" s="452"/>
      <c r="B104" s="68" t="s">
        <v>69</v>
      </c>
      <c r="C104" s="17"/>
      <c r="D104" s="591"/>
      <c r="E104" s="17"/>
      <c r="F104" s="594" t="s">
        <v>64</v>
      </c>
      <c r="G104" s="455"/>
      <c r="H104" s="597"/>
      <c r="I104" s="3"/>
      <c r="J104" s="600"/>
      <c r="K104" s="3"/>
      <c r="L104" s="610">
        <f t="shared" ref="L104:L110" si="7">IF(H104&gt;0,(J104*D104)/H104,0)</f>
        <v>0</v>
      </c>
      <c r="M104" s="452"/>
      <c r="N104" s="612">
        <f>L104*J96</f>
        <v>0</v>
      </c>
      <c r="O104" s="452"/>
      <c r="P104" s="612">
        <f>IF(Consolidado_A!$G$133&gt;=7.6%,-(0.0165+0.076)*N104,0)</f>
        <v>0</v>
      </c>
      <c r="Q104" s="452"/>
      <c r="R104" s="612">
        <f t="shared" si="6"/>
        <v>0</v>
      </c>
      <c r="S104" s="453"/>
    </row>
    <row r="105" spans="1:19" s="454" customFormat="1" ht="14.25" hidden="1" customHeight="1">
      <c r="A105" s="452"/>
      <c r="B105" s="68" t="s">
        <v>70</v>
      </c>
      <c r="C105" s="17"/>
      <c r="D105" s="591">
        <v>1</v>
      </c>
      <c r="E105" s="17"/>
      <c r="F105" s="594" t="s">
        <v>64</v>
      </c>
      <c r="G105" s="455"/>
      <c r="H105" s="597"/>
      <c r="I105" s="3"/>
      <c r="J105" s="600"/>
      <c r="K105" s="3"/>
      <c r="L105" s="610">
        <f t="shared" si="7"/>
        <v>0</v>
      </c>
      <c r="M105" s="452"/>
      <c r="N105" s="612">
        <f>L105*J96</f>
        <v>0</v>
      </c>
      <c r="O105" s="452"/>
      <c r="P105" s="612">
        <f>IF(Consolidado_A!$G$133&gt;=7.6%,-(0.0165+0.076)*N105,0)</f>
        <v>0</v>
      </c>
      <c r="Q105" s="452"/>
      <c r="R105" s="612">
        <f t="shared" si="6"/>
        <v>0</v>
      </c>
      <c r="S105" s="453"/>
    </row>
    <row r="106" spans="1:19" s="454" customFormat="1" ht="14.25" hidden="1" customHeight="1">
      <c r="A106" s="452"/>
      <c r="B106" s="68" t="s">
        <v>71</v>
      </c>
      <c r="C106" s="17"/>
      <c r="D106" s="591">
        <v>1</v>
      </c>
      <c r="E106" s="17"/>
      <c r="F106" s="594" t="s">
        <v>64</v>
      </c>
      <c r="G106" s="455"/>
      <c r="H106" s="597"/>
      <c r="I106" s="3"/>
      <c r="J106" s="600"/>
      <c r="K106" s="3"/>
      <c r="L106" s="610">
        <f t="shared" si="7"/>
        <v>0</v>
      </c>
      <c r="M106" s="452"/>
      <c r="N106" s="612">
        <f>L106*J96</f>
        <v>0</v>
      </c>
      <c r="O106" s="452"/>
      <c r="P106" s="612">
        <f>IF(Consolidado_A!$G$133&gt;=7.6%,-(0.0165+0.076)*N106,0)</f>
        <v>0</v>
      </c>
      <c r="Q106" s="452"/>
      <c r="R106" s="612">
        <f t="shared" si="6"/>
        <v>0</v>
      </c>
      <c r="S106" s="453"/>
    </row>
    <row r="107" spans="1:19" s="454" customFormat="1" ht="14.25" hidden="1" customHeight="1">
      <c r="A107" s="452"/>
      <c r="B107" s="68" t="s">
        <v>72</v>
      </c>
      <c r="C107" s="17"/>
      <c r="D107" s="591">
        <v>1</v>
      </c>
      <c r="E107" s="17"/>
      <c r="F107" s="594" t="s">
        <v>64</v>
      </c>
      <c r="G107" s="455"/>
      <c r="H107" s="597"/>
      <c r="I107" s="3"/>
      <c r="J107" s="600"/>
      <c r="K107" s="3"/>
      <c r="L107" s="610">
        <f t="shared" si="7"/>
        <v>0</v>
      </c>
      <c r="M107" s="452"/>
      <c r="N107" s="612">
        <f>L107*J96</f>
        <v>0</v>
      </c>
      <c r="O107" s="452"/>
      <c r="P107" s="612">
        <f>IF(Consolidado_A!$G$133&gt;=7.6%,-(0.0165+0.076)*N107,0)</f>
        <v>0</v>
      </c>
      <c r="Q107" s="452"/>
      <c r="R107" s="612">
        <f t="shared" si="6"/>
        <v>0</v>
      </c>
      <c r="S107" s="453"/>
    </row>
    <row r="108" spans="1:19" s="454" customFormat="1" ht="14.25" hidden="1" customHeight="1">
      <c r="A108" s="452"/>
      <c r="B108" s="627" t="s">
        <v>73</v>
      </c>
      <c r="C108" s="456"/>
      <c r="D108" s="591">
        <v>1</v>
      </c>
      <c r="E108" s="456"/>
      <c r="F108" s="595" t="s">
        <v>64</v>
      </c>
      <c r="G108" s="457"/>
      <c r="H108" s="597"/>
      <c r="I108" s="3"/>
      <c r="J108" s="600"/>
      <c r="K108" s="3"/>
      <c r="L108" s="610">
        <f t="shared" si="7"/>
        <v>0</v>
      </c>
      <c r="M108" s="452"/>
      <c r="N108" s="612">
        <f>L108*J96</f>
        <v>0</v>
      </c>
      <c r="O108" s="452"/>
      <c r="P108" s="612">
        <f>IF(Consolidado_A!$G$133&gt;=7.6%,-(0.0165+0.076)*N108,0)</f>
        <v>0</v>
      </c>
      <c r="Q108" s="452"/>
      <c r="R108" s="612">
        <f t="shared" si="6"/>
        <v>0</v>
      </c>
      <c r="S108" s="453"/>
    </row>
    <row r="109" spans="1:19" s="454" customFormat="1" ht="14.25" hidden="1" customHeight="1">
      <c r="A109" s="452"/>
      <c r="B109" s="68" t="s">
        <v>74</v>
      </c>
      <c r="C109" s="17"/>
      <c r="D109" s="591">
        <v>1</v>
      </c>
      <c r="E109" s="17"/>
      <c r="F109" s="595" t="s">
        <v>29</v>
      </c>
      <c r="G109" s="457"/>
      <c r="H109" s="597"/>
      <c r="I109" s="3"/>
      <c r="J109" s="600"/>
      <c r="K109" s="3"/>
      <c r="L109" s="610">
        <f t="shared" si="7"/>
        <v>0</v>
      </c>
      <c r="M109" s="452"/>
      <c r="N109" s="612">
        <f>L109*J96</f>
        <v>0</v>
      </c>
      <c r="O109" s="452"/>
      <c r="P109" s="612">
        <f>IF(Consolidado_A!$G$133&gt;=7.6%,-(0.0165+0.076)*N109,0)</f>
        <v>0</v>
      </c>
      <c r="Q109" s="452"/>
      <c r="R109" s="612">
        <f t="shared" si="6"/>
        <v>0</v>
      </c>
      <c r="S109" s="453"/>
    </row>
    <row r="110" spans="1:19" s="454" customFormat="1" ht="14.25" hidden="1" customHeight="1" thickBot="1">
      <c r="A110" s="452"/>
      <c r="B110" s="57" t="s">
        <v>77</v>
      </c>
      <c r="C110" s="3"/>
      <c r="D110" s="592"/>
      <c r="E110" s="3"/>
      <c r="F110" s="596" t="s">
        <v>29</v>
      </c>
      <c r="G110" s="3"/>
      <c r="H110" s="597"/>
      <c r="I110" s="3"/>
      <c r="J110" s="600"/>
      <c r="K110" s="3"/>
      <c r="L110" s="610">
        <f t="shared" si="7"/>
        <v>0</v>
      </c>
      <c r="M110" s="452"/>
      <c r="N110" s="612">
        <f>L110*J96</f>
        <v>0</v>
      </c>
      <c r="O110" s="452"/>
      <c r="P110" s="612">
        <f>IF(Consolidado_A!$G$133&gt;=7.6%,-(0.0165+0.076)*N110,0)</f>
        <v>0</v>
      </c>
      <c r="Q110" s="452"/>
      <c r="R110" s="612">
        <f t="shared" si="6"/>
        <v>0</v>
      </c>
      <c r="S110" s="453"/>
    </row>
    <row r="111" spans="1:19" ht="14.25" hidden="1" customHeight="1" thickBot="1">
      <c r="A111" s="447"/>
      <c r="B111" s="628" t="s">
        <v>242</v>
      </c>
      <c r="C111" s="3"/>
      <c r="D111" s="454"/>
      <c r="E111" s="3"/>
      <c r="F111" s="457"/>
      <c r="G111" s="3"/>
      <c r="H111" s="599"/>
      <c r="I111" s="3"/>
      <c r="J111" s="510">
        <v>0.01</v>
      </c>
      <c r="K111" s="3"/>
      <c r="L111" s="611">
        <f>IF(H111&gt;0,J111*(R96-(D103*J103))/H111,0)</f>
        <v>0</v>
      </c>
      <c r="M111" s="447"/>
      <c r="N111" s="613">
        <f>L111*J96</f>
        <v>0</v>
      </c>
      <c r="O111" s="447"/>
      <c r="P111" s="613">
        <f>IF(Consolidado_A!$G$133&gt;=7.6%,-(0.0165+0.076)*N111,0)</f>
        <v>0</v>
      </c>
      <c r="Q111" s="447"/>
      <c r="R111" s="613">
        <f t="shared" si="6"/>
        <v>0</v>
      </c>
      <c r="S111" s="448"/>
    </row>
    <row r="112" spans="1:19" ht="4.5" hidden="1" customHeight="1">
      <c r="A112" s="447"/>
      <c r="B112" s="447"/>
      <c r="C112" s="447"/>
      <c r="D112" s="447"/>
      <c r="E112" s="3"/>
      <c r="F112" s="4"/>
      <c r="G112" s="4"/>
      <c r="H112" s="4"/>
      <c r="I112" s="4"/>
      <c r="J112" s="4"/>
      <c r="K112" s="3"/>
      <c r="L112" s="4"/>
      <c r="M112" s="447"/>
      <c r="N112" s="447"/>
      <c r="O112" s="447"/>
      <c r="P112" s="447"/>
      <c r="Q112" s="447"/>
      <c r="R112" s="447"/>
      <c r="S112" s="448"/>
    </row>
    <row r="113" spans="1:20" s="454" customFormat="1" ht="16.5" hidden="1" customHeight="1" thickBot="1">
      <c r="A113" s="452"/>
      <c r="B113" s="3"/>
      <c r="C113" s="3"/>
      <c r="D113" s="43"/>
      <c r="E113" s="3"/>
      <c r="F113" s="3"/>
      <c r="G113" s="3"/>
      <c r="H113" s="458"/>
      <c r="I113" s="35"/>
      <c r="J113" s="629" t="s">
        <v>113</v>
      </c>
      <c r="K113" s="459"/>
      <c r="L113" s="614">
        <f>SUM(L102:L110)</f>
        <v>0</v>
      </c>
      <c r="M113" s="452"/>
      <c r="N113" s="615">
        <f>SUM(N102:N110)</f>
        <v>0</v>
      </c>
      <c r="O113" s="452"/>
      <c r="P113" s="615">
        <f>SUM(P102:P110)</f>
        <v>0</v>
      </c>
      <c r="Q113" s="452"/>
      <c r="R113" s="615">
        <f>SUM(R102:R111)</f>
        <v>0</v>
      </c>
      <c r="S113" s="453"/>
      <c r="T113" s="460"/>
    </row>
    <row r="114" spans="1:20" ht="8.25" hidden="1" customHeight="1">
      <c r="A114" s="447"/>
      <c r="B114" s="4"/>
      <c r="C114" s="4"/>
      <c r="D114" s="10"/>
      <c r="E114" s="3"/>
      <c r="F114" s="461"/>
      <c r="G114" s="4"/>
      <c r="H114" s="447"/>
      <c r="I114" s="447"/>
      <c r="J114" s="462"/>
      <c r="K114" s="3"/>
      <c r="L114" s="4"/>
      <c r="M114" s="447"/>
      <c r="N114" s="447"/>
      <c r="O114" s="447"/>
      <c r="P114" s="447"/>
      <c r="Q114" s="447"/>
      <c r="R114" s="447"/>
      <c r="S114" s="448"/>
    </row>
    <row r="115" spans="1:20" s="464" customFormat="1" ht="16.5" hidden="1" customHeight="1" thickBot="1">
      <c r="A115" s="449"/>
      <c r="B115" s="586"/>
      <c r="C115" s="587"/>
      <c r="D115" s="587"/>
      <c r="E115" s="587"/>
      <c r="F115" s="587"/>
      <c r="G115" s="588"/>
      <c r="H115" s="587"/>
      <c r="I115" s="587"/>
      <c r="J115" s="603" t="s">
        <v>44</v>
      </c>
      <c r="K115" s="587"/>
      <c r="L115" s="587"/>
      <c r="M115" s="588"/>
      <c r="N115" s="588"/>
      <c r="O115" s="588"/>
      <c r="P115" s="588"/>
      <c r="Q115" s="588"/>
      <c r="R115" s="589"/>
      <c r="S115" s="463"/>
    </row>
    <row r="116" spans="1:20" ht="13.5" hidden="1" customHeight="1">
      <c r="A116" s="447"/>
      <c r="B116" s="6"/>
      <c r="C116" s="6"/>
      <c r="D116" s="6"/>
      <c r="E116" s="6"/>
      <c r="F116" s="6"/>
      <c r="G116" s="6"/>
      <c r="H116" s="6"/>
      <c r="I116" s="6"/>
      <c r="J116" s="616" t="s">
        <v>82</v>
      </c>
      <c r="K116" s="465"/>
      <c r="L116" s="616" t="s">
        <v>83</v>
      </c>
      <c r="M116" s="447"/>
      <c r="N116" s="447"/>
      <c r="O116" s="447"/>
      <c r="P116" s="447"/>
      <c r="Q116" s="447"/>
      <c r="R116" s="447"/>
      <c r="S116" s="448"/>
    </row>
    <row r="117" spans="1:20" ht="16.5" hidden="1" customHeight="1" thickBot="1">
      <c r="A117" s="447"/>
      <c r="B117" s="90" t="s">
        <v>243</v>
      </c>
      <c r="C117" s="619"/>
      <c r="D117" s="619"/>
      <c r="E117" s="619"/>
      <c r="F117" s="619"/>
      <c r="G117" s="619"/>
      <c r="H117" s="619"/>
      <c r="I117" s="6"/>
      <c r="J117" s="601">
        <f>R96*3%</f>
        <v>0</v>
      </c>
      <c r="K117" s="6"/>
      <c r="L117" s="617">
        <f>J117/12</f>
        <v>0</v>
      </c>
      <c r="M117" s="447"/>
      <c r="N117" s="447"/>
      <c r="O117" s="447"/>
      <c r="P117" s="447"/>
      <c r="Q117" s="447"/>
      <c r="R117" s="447"/>
      <c r="S117" s="448"/>
    </row>
    <row r="118" spans="1:20" ht="3.75" hidden="1" customHeight="1">
      <c r="A118" s="447"/>
      <c r="B118" s="619"/>
      <c r="C118" s="619"/>
      <c r="D118" s="619"/>
      <c r="E118" s="619"/>
      <c r="F118" s="619"/>
      <c r="G118" s="619"/>
      <c r="H118" s="619"/>
      <c r="I118" s="6"/>
      <c r="J118" s="6"/>
      <c r="K118" s="6"/>
      <c r="L118" s="618"/>
      <c r="M118" s="447"/>
      <c r="N118" s="447"/>
      <c r="O118" s="447"/>
      <c r="P118" s="447"/>
      <c r="Q118" s="447"/>
      <c r="R118" s="447"/>
      <c r="S118" s="448"/>
    </row>
    <row r="119" spans="1:20" ht="16.5" hidden="1" customHeight="1" thickBot="1">
      <c r="A119" s="447"/>
      <c r="B119" s="91" t="s">
        <v>78</v>
      </c>
      <c r="C119" s="619"/>
      <c r="D119" s="619"/>
      <c r="E119" s="619"/>
      <c r="F119" s="619"/>
      <c r="G119" s="619"/>
      <c r="H119" s="619"/>
      <c r="I119" s="6"/>
      <c r="J119" s="601"/>
      <c r="K119" s="6"/>
      <c r="L119" s="617">
        <f>J119/12</f>
        <v>0</v>
      </c>
      <c r="M119" s="447"/>
      <c r="N119" s="447"/>
      <c r="O119" s="447"/>
      <c r="P119" s="516" t="s">
        <v>183</v>
      </c>
      <c r="Q119" s="447"/>
      <c r="R119" s="622">
        <f>L117+L119</f>
        <v>0</v>
      </c>
      <c r="S119" s="448"/>
    </row>
    <row r="120" spans="1:20" hidden="1">
      <c r="A120" s="447"/>
      <c r="B120" s="4"/>
      <c r="C120" s="4"/>
      <c r="D120" s="10"/>
      <c r="E120" s="3"/>
      <c r="F120" s="4"/>
      <c r="G120" s="4"/>
      <c r="H120" s="449"/>
      <c r="I120" s="449"/>
      <c r="J120" s="462"/>
      <c r="K120" s="3"/>
      <c r="L120" s="4"/>
      <c r="M120" s="447"/>
      <c r="N120" s="447"/>
      <c r="O120" s="447"/>
      <c r="P120" s="447"/>
      <c r="Q120" s="447"/>
      <c r="R120" s="447"/>
      <c r="S120" s="448"/>
    </row>
    <row r="121" spans="1:20" ht="21.75" hidden="1" customHeight="1" thickBot="1">
      <c r="A121" s="447"/>
      <c r="B121" s="447"/>
      <c r="C121" s="447"/>
      <c r="D121" s="447"/>
      <c r="E121" s="3"/>
      <c r="F121" s="4"/>
      <c r="G121" s="4"/>
      <c r="H121" s="449"/>
      <c r="I121" s="449"/>
      <c r="J121" s="447"/>
      <c r="K121" s="466"/>
      <c r="L121" s="447"/>
      <c r="M121" s="447"/>
      <c r="N121" s="447"/>
      <c r="O121" s="449"/>
      <c r="P121" s="620" t="s">
        <v>45</v>
      </c>
      <c r="Q121" s="590"/>
      <c r="R121" s="621">
        <f>IF(J96&gt;0,R113+R119,0)</f>
        <v>0</v>
      </c>
      <c r="S121" s="448"/>
    </row>
    <row r="122" spans="1:20" hidden="1"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</row>
    <row r="123" spans="1:20" hidden="1">
      <c r="B123" s="467"/>
      <c r="C123" s="467"/>
      <c r="D123" s="467"/>
      <c r="E123" s="467"/>
      <c r="F123" s="467"/>
      <c r="G123" s="467"/>
      <c r="H123" s="467"/>
      <c r="I123" s="467"/>
      <c r="J123" s="467"/>
      <c r="K123" s="467"/>
      <c r="L123" s="467"/>
    </row>
    <row r="124" spans="1:20" ht="21" hidden="1" customHeight="1" thickBot="1">
      <c r="A124" s="447"/>
      <c r="B124" s="1078" t="s">
        <v>421</v>
      </c>
      <c r="C124" s="1079"/>
      <c r="D124" s="1079"/>
      <c r="E124" s="1079"/>
      <c r="F124" s="1079"/>
      <c r="G124" s="1079"/>
      <c r="H124" s="1079"/>
      <c r="I124" s="1079"/>
      <c r="J124" s="1079"/>
      <c r="K124" s="1079"/>
      <c r="L124" s="1079"/>
      <c r="M124" s="1079"/>
      <c r="N124" s="1079"/>
      <c r="O124" s="1079"/>
      <c r="P124" s="1079"/>
      <c r="Q124" s="1079"/>
      <c r="R124" s="1080"/>
      <c r="S124" s="448"/>
    </row>
    <row r="125" spans="1:20" ht="9" hidden="1" customHeight="1">
      <c r="A125" s="44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447"/>
      <c r="M125" s="447"/>
      <c r="N125" s="447"/>
      <c r="O125" s="447"/>
      <c r="P125" s="447"/>
      <c r="Q125" s="447"/>
      <c r="R125" s="447"/>
      <c r="S125" s="448"/>
    </row>
    <row r="126" spans="1:20" ht="15.75" hidden="1" customHeight="1" thickBot="1">
      <c r="A126" s="447"/>
      <c r="B126" s="623" t="s">
        <v>16</v>
      </c>
      <c r="C126" s="57"/>
      <c r="D126" s="624"/>
      <c r="E126" s="68"/>
      <c r="F126" s="625"/>
      <c r="G126" s="626"/>
      <c r="H126" s="64"/>
      <c r="I126" s="447"/>
      <c r="J126" s="602"/>
      <c r="K126" s="645" t="s">
        <v>20</v>
      </c>
      <c r="L126" s="448"/>
      <c r="N126" s="626"/>
      <c r="O126" s="447"/>
      <c r="P126" s="646" t="s">
        <v>241</v>
      </c>
      <c r="Q126" s="447"/>
      <c r="R126" s="601"/>
      <c r="S126" s="448"/>
    </row>
    <row r="127" spans="1:20" ht="9" hidden="1" customHeight="1">
      <c r="A127" s="447"/>
      <c r="B127" s="3"/>
      <c r="C127" s="3"/>
      <c r="D127" s="8"/>
      <c r="E127" s="17"/>
      <c r="F127" s="449"/>
      <c r="G127" s="3"/>
      <c r="H127" s="449"/>
      <c r="I127" s="449"/>
      <c r="J127" s="450"/>
      <c r="K127" s="447"/>
      <c r="L127" s="451"/>
      <c r="M127" s="447"/>
      <c r="N127" s="447"/>
      <c r="O127" s="447"/>
      <c r="P127" s="447"/>
      <c r="Q127" s="447"/>
      <c r="R127" s="447"/>
      <c r="S127" s="448"/>
    </row>
    <row r="128" spans="1:20" ht="16.5" hidden="1" customHeight="1" thickBot="1">
      <c r="A128" s="447"/>
      <c r="B128" s="604"/>
      <c r="C128" s="603"/>
      <c r="D128" s="603"/>
      <c r="E128" s="603"/>
      <c r="F128" s="603"/>
      <c r="G128" s="495"/>
      <c r="H128" s="603"/>
      <c r="I128" s="603"/>
      <c r="J128" s="603" t="s">
        <v>19</v>
      </c>
      <c r="K128" s="603"/>
      <c r="L128" s="603"/>
      <c r="M128" s="495"/>
      <c r="N128" s="495"/>
      <c r="O128" s="495"/>
      <c r="P128" s="495"/>
      <c r="Q128" s="495"/>
      <c r="R128" s="496"/>
      <c r="S128" s="448"/>
    </row>
    <row r="129" spans="1:20" ht="6.75" hidden="1" customHeight="1">
      <c r="A129" s="447"/>
      <c r="B129" s="3"/>
      <c r="C129" s="3"/>
      <c r="D129" s="3"/>
      <c r="E129" s="3"/>
      <c r="F129" s="4"/>
      <c r="G129" s="4"/>
      <c r="H129" s="4"/>
      <c r="I129" s="4"/>
      <c r="J129" s="4"/>
      <c r="K129" s="3"/>
      <c r="L129" s="447"/>
      <c r="M129" s="447"/>
      <c r="N129" s="447"/>
      <c r="O129" s="447"/>
      <c r="P129" s="447"/>
      <c r="Q129" s="447"/>
      <c r="R129" s="447"/>
      <c r="S129" s="448"/>
    </row>
    <row r="130" spans="1:20" ht="25.5" hidden="1" customHeight="1" thickBot="1">
      <c r="A130" s="447"/>
      <c r="B130" s="605" t="s">
        <v>102</v>
      </c>
      <c r="C130" s="606"/>
      <c r="D130" s="603" t="s">
        <v>66</v>
      </c>
      <c r="E130" s="606"/>
      <c r="F130" s="607" t="s">
        <v>67</v>
      </c>
      <c r="G130" s="607"/>
      <c r="H130" s="606" t="s">
        <v>68</v>
      </c>
      <c r="I130" s="537"/>
      <c r="J130" s="603" t="s">
        <v>65</v>
      </c>
      <c r="K130" s="537"/>
      <c r="L130" s="603" t="s">
        <v>18</v>
      </c>
      <c r="M130" s="495"/>
      <c r="N130" s="603" t="s">
        <v>17</v>
      </c>
      <c r="O130" s="495"/>
      <c r="P130" s="608" t="s">
        <v>86</v>
      </c>
      <c r="Q130" s="495"/>
      <c r="R130" s="609" t="s">
        <v>113</v>
      </c>
      <c r="S130" s="448"/>
    </row>
    <row r="131" spans="1:20" hidden="1">
      <c r="A131" s="447"/>
      <c r="B131" s="42"/>
      <c r="C131" s="42"/>
      <c r="D131" s="6"/>
      <c r="E131" s="42"/>
      <c r="F131" s="6"/>
      <c r="G131" s="6"/>
      <c r="H131" s="42"/>
      <c r="I131" s="3"/>
      <c r="J131" s="6"/>
      <c r="K131" s="3"/>
      <c r="L131" s="4"/>
      <c r="M131" s="447"/>
      <c r="N131" s="447"/>
      <c r="O131" s="447"/>
      <c r="P131" s="447"/>
      <c r="Q131" s="447"/>
      <c r="R131" s="447"/>
      <c r="S131" s="448"/>
    </row>
    <row r="132" spans="1:20" s="454" customFormat="1" ht="14.25" hidden="1" customHeight="1">
      <c r="A132" s="452"/>
      <c r="B132" s="68" t="s">
        <v>76</v>
      </c>
      <c r="C132" s="42"/>
      <c r="D132" s="591">
        <v>4</v>
      </c>
      <c r="E132" s="17"/>
      <c r="F132" s="593" t="s">
        <v>29</v>
      </c>
      <c r="G132" s="42"/>
      <c r="H132" s="597"/>
      <c r="I132" s="3"/>
      <c r="J132" s="600"/>
      <c r="K132" s="3"/>
      <c r="L132" s="610">
        <f>IF(H132&gt;0,(J132*D132)/H132,0)</f>
        <v>0</v>
      </c>
      <c r="M132" s="452"/>
      <c r="N132" s="612">
        <f>L132*J126</f>
        <v>0</v>
      </c>
      <c r="O132" s="452"/>
      <c r="P132" s="612">
        <f>IF(Consolidado_A!$G$133&gt;=7.6%,-(0.0165+0.076)*N132,0)</f>
        <v>0</v>
      </c>
      <c r="Q132" s="452"/>
      <c r="R132" s="612">
        <f t="shared" ref="R132:R141" si="8">N132+P132</f>
        <v>0</v>
      </c>
      <c r="S132" s="453"/>
    </row>
    <row r="133" spans="1:20" s="454" customFormat="1" ht="14.25" hidden="1" customHeight="1">
      <c r="A133" s="452"/>
      <c r="B133" s="68" t="s">
        <v>75</v>
      </c>
      <c r="C133" s="17"/>
      <c r="D133" s="591">
        <v>1</v>
      </c>
      <c r="E133" s="17"/>
      <c r="F133" s="593" t="s">
        <v>64</v>
      </c>
      <c r="G133" s="42"/>
      <c r="H133" s="598"/>
      <c r="I133" s="3"/>
      <c r="J133" s="600"/>
      <c r="K133" s="3"/>
      <c r="L133" s="610">
        <f>IF(H133&gt;0,(J133/H133),0)</f>
        <v>0</v>
      </c>
      <c r="M133" s="452"/>
      <c r="N133" s="612">
        <f>L133*J126</f>
        <v>0</v>
      </c>
      <c r="O133" s="452"/>
      <c r="P133" s="612">
        <f>IF(Consolidado_A!$G$133&gt;=7.6%,-(0.0165+0.076)*N133,0)</f>
        <v>0</v>
      </c>
      <c r="Q133" s="452"/>
      <c r="R133" s="612">
        <f t="shared" si="8"/>
        <v>0</v>
      </c>
      <c r="S133" s="453"/>
    </row>
    <row r="134" spans="1:20" s="454" customFormat="1" ht="14.25" hidden="1" customHeight="1">
      <c r="A134" s="452"/>
      <c r="B134" s="68" t="s">
        <v>69</v>
      </c>
      <c r="C134" s="17"/>
      <c r="D134" s="591"/>
      <c r="E134" s="17"/>
      <c r="F134" s="594" t="s">
        <v>64</v>
      </c>
      <c r="G134" s="455"/>
      <c r="H134" s="597"/>
      <c r="I134" s="3"/>
      <c r="J134" s="600"/>
      <c r="K134" s="3"/>
      <c r="L134" s="610">
        <f t="shared" ref="L134:L140" si="9">IF(H134&gt;0,(J134*D134)/H134,0)</f>
        <v>0</v>
      </c>
      <c r="M134" s="452"/>
      <c r="N134" s="612">
        <f>L134*J126</f>
        <v>0</v>
      </c>
      <c r="O134" s="452"/>
      <c r="P134" s="612">
        <f>IF(Consolidado_A!$G$133&gt;=7.6%,-(0.0165+0.076)*N134,0)</f>
        <v>0</v>
      </c>
      <c r="Q134" s="452"/>
      <c r="R134" s="612">
        <f t="shared" si="8"/>
        <v>0</v>
      </c>
      <c r="S134" s="453"/>
    </row>
    <row r="135" spans="1:20" s="454" customFormat="1" ht="14.25" hidden="1" customHeight="1">
      <c r="A135" s="452"/>
      <c r="B135" s="68" t="s">
        <v>70</v>
      </c>
      <c r="C135" s="17"/>
      <c r="D135" s="591">
        <v>1</v>
      </c>
      <c r="E135" s="17"/>
      <c r="F135" s="594" t="s">
        <v>64</v>
      </c>
      <c r="G135" s="455"/>
      <c r="H135" s="597"/>
      <c r="I135" s="3"/>
      <c r="J135" s="600"/>
      <c r="K135" s="3"/>
      <c r="L135" s="610">
        <f t="shared" si="9"/>
        <v>0</v>
      </c>
      <c r="M135" s="452"/>
      <c r="N135" s="612">
        <f>L135*J126</f>
        <v>0</v>
      </c>
      <c r="O135" s="452"/>
      <c r="P135" s="612">
        <f>IF(Consolidado_A!$G$133&gt;=7.6%,-(0.0165+0.076)*N135,0)</f>
        <v>0</v>
      </c>
      <c r="Q135" s="452"/>
      <c r="R135" s="612">
        <f t="shared" si="8"/>
        <v>0</v>
      </c>
      <c r="S135" s="453"/>
    </row>
    <row r="136" spans="1:20" s="454" customFormat="1" ht="14.25" hidden="1" customHeight="1">
      <c r="A136" s="452"/>
      <c r="B136" s="68" t="s">
        <v>71</v>
      </c>
      <c r="C136" s="17"/>
      <c r="D136" s="591">
        <v>1</v>
      </c>
      <c r="E136" s="17"/>
      <c r="F136" s="594" t="s">
        <v>64</v>
      </c>
      <c r="G136" s="455"/>
      <c r="H136" s="597"/>
      <c r="I136" s="3"/>
      <c r="J136" s="600"/>
      <c r="K136" s="3"/>
      <c r="L136" s="610">
        <f t="shared" si="9"/>
        <v>0</v>
      </c>
      <c r="M136" s="452"/>
      <c r="N136" s="612">
        <f>L136*J126</f>
        <v>0</v>
      </c>
      <c r="O136" s="452"/>
      <c r="P136" s="612">
        <f>IF(Consolidado_A!$G$133&gt;=7.6%,-(0.0165+0.076)*N136,0)</f>
        <v>0</v>
      </c>
      <c r="Q136" s="452"/>
      <c r="R136" s="612">
        <f t="shared" si="8"/>
        <v>0</v>
      </c>
      <c r="S136" s="453"/>
    </row>
    <row r="137" spans="1:20" s="454" customFormat="1" ht="14.25" hidden="1" customHeight="1">
      <c r="A137" s="452"/>
      <c r="B137" s="68" t="s">
        <v>72</v>
      </c>
      <c r="C137" s="17"/>
      <c r="D137" s="591">
        <v>1</v>
      </c>
      <c r="E137" s="17"/>
      <c r="F137" s="594" t="s">
        <v>64</v>
      </c>
      <c r="G137" s="455"/>
      <c r="H137" s="597"/>
      <c r="I137" s="3"/>
      <c r="J137" s="600"/>
      <c r="K137" s="3"/>
      <c r="L137" s="610">
        <f t="shared" si="9"/>
        <v>0</v>
      </c>
      <c r="M137" s="452"/>
      <c r="N137" s="612">
        <f>L137*J126</f>
        <v>0</v>
      </c>
      <c r="O137" s="452"/>
      <c r="P137" s="612">
        <f>IF(Consolidado_A!$G$133&gt;=7.6%,-(0.0165+0.076)*N137,0)</f>
        <v>0</v>
      </c>
      <c r="Q137" s="452"/>
      <c r="R137" s="612">
        <f t="shared" si="8"/>
        <v>0</v>
      </c>
      <c r="S137" s="453"/>
    </row>
    <row r="138" spans="1:20" s="454" customFormat="1" ht="14.25" hidden="1" customHeight="1">
      <c r="A138" s="452"/>
      <c r="B138" s="627" t="s">
        <v>73</v>
      </c>
      <c r="C138" s="456"/>
      <c r="D138" s="591">
        <v>1</v>
      </c>
      <c r="E138" s="456"/>
      <c r="F138" s="595" t="s">
        <v>64</v>
      </c>
      <c r="G138" s="457"/>
      <c r="H138" s="597"/>
      <c r="I138" s="3"/>
      <c r="J138" s="600"/>
      <c r="K138" s="3"/>
      <c r="L138" s="610">
        <f t="shared" si="9"/>
        <v>0</v>
      </c>
      <c r="M138" s="452"/>
      <c r="N138" s="612">
        <f>L138*J126</f>
        <v>0</v>
      </c>
      <c r="O138" s="452"/>
      <c r="P138" s="612">
        <f>IF(Consolidado_A!$G$133&gt;=7.6%,-(0.0165+0.076)*N138,0)</f>
        <v>0</v>
      </c>
      <c r="Q138" s="452"/>
      <c r="R138" s="612">
        <f t="shared" si="8"/>
        <v>0</v>
      </c>
      <c r="S138" s="453"/>
    </row>
    <row r="139" spans="1:20" s="454" customFormat="1" ht="14.25" hidden="1" customHeight="1">
      <c r="A139" s="452"/>
      <c r="B139" s="68" t="s">
        <v>74</v>
      </c>
      <c r="C139" s="17"/>
      <c r="D139" s="591">
        <v>1</v>
      </c>
      <c r="E139" s="17"/>
      <c r="F139" s="595" t="s">
        <v>29</v>
      </c>
      <c r="G139" s="457"/>
      <c r="H139" s="597"/>
      <c r="I139" s="3"/>
      <c r="J139" s="600"/>
      <c r="K139" s="3"/>
      <c r="L139" s="610">
        <f t="shared" si="9"/>
        <v>0</v>
      </c>
      <c r="M139" s="452"/>
      <c r="N139" s="612">
        <f>L139*J126</f>
        <v>0</v>
      </c>
      <c r="O139" s="452"/>
      <c r="P139" s="612">
        <f>IF(Consolidado_A!$G$133&gt;=7.6%,-(0.0165+0.076)*N139,0)</f>
        <v>0</v>
      </c>
      <c r="Q139" s="452"/>
      <c r="R139" s="612">
        <f t="shared" si="8"/>
        <v>0</v>
      </c>
      <c r="S139" s="453"/>
    </row>
    <row r="140" spans="1:20" s="454" customFormat="1" ht="14.25" hidden="1" customHeight="1" thickBot="1">
      <c r="A140" s="452"/>
      <c r="B140" s="57" t="s">
        <v>77</v>
      </c>
      <c r="C140" s="3"/>
      <c r="D140" s="592"/>
      <c r="E140" s="3"/>
      <c r="F140" s="596" t="s">
        <v>29</v>
      </c>
      <c r="G140" s="3"/>
      <c r="H140" s="597"/>
      <c r="I140" s="3"/>
      <c r="J140" s="600"/>
      <c r="K140" s="3"/>
      <c r="L140" s="610">
        <f t="shared" si="9"/>
        <v>0</v>
      </c>
      <c r="M140" s="452"/>
      <c r="N140" s="612">
        <f>L140*J126</f>
        <v>0</v>
      </c>
      <c r="O140" s="452"/>
      <c r="P140" s="612">
        <f>IF(Consolidado_A!$G$133&gt;=7.6%,-(0.0165+0.076)*N140,0)</f>
        <v>0</v>
      </c>
      <c r="Q140" s="452"/>
      <c r="R140" s="612">
        <f t="shared" si="8"/>
        <v>0</v>
      </c>
      <c r="S140" s="453"/>
    </row>
    <row r="141" spans="1:20" ht="14.25" hidden="1" customHeight="1" thickBot="1">
      <c r="A141" s="447"/>
      <c r="B141" s="628" t="s">
        <v>242</v>
      </c>
      <c r="C141" s="3"/>
      <c r="D141" s="454"/>
      <c r="E141" s="3"/>
      <c r="F141" s="457"/>
      <c r="G141" s="3"/>
      <c r="H141" s="599"/>
      <c r="I141" s="3"/>
      <c r="J141" s="510">
        <v>0.01</v>
      </c>
      <c r="K141" s="3"/>
      <c r="L141" s="611">
        <f>IF(H141&gt;0,J141*(R126-(D133*J133))/H141,0)</f>
        <v>0</v>
      </c>
      <c r="M141" s="447"/>
      <c r="N141" s="613">
        <f>L141*J126</f>
        <v>0</v>
      </c>
      <c r="O141" s="447"/>
      <c r="P141" s="613">
        <f>IF(Consolidado_A!$G$133&gt;=7.6%,-(0.0165+0.076)*N141,0)</f>
        <v>0</v>
      </c>
      <c r="Q141" s="447"/>
      <c r="R141" s="613">
        <f t="shared" si="8"/>
        <v>0</v>
      </c>
      <c r="S141" s="448"/>
    </row>
    <row r="142" spans="1:20" ht="4.5" hidden="1" customHeight="1">
      <c r="A142" s="447"/>
      <c r="B142" s="447"/>
      <c r="C142" s="447"/>
      <c r="D142" s="447"/>
      <c r="E142" s="3"/>
      <c r="F142" s="4"/>
      <c r="G142" s="4"/>
      <c r="H142" s="4"/>
      <c r="I142" s="4"/>
      <c r="J142" s="4"/>
      <c r="K142" s="3"/>
      <c r="L142" s="4"/>
      <c r="M142" s="447"/>
      <c r="N142" s="447"/>
      <c r="O142" s="447"/>
      <c r="P142" s="447"/>
      <c r="Q142" s="447"/>
      <c r="R142" s="447"/>
      <c r="S142" s="448"/>
    </row>
    <row r="143" spans="1:20" s="454" customFormat="1" ht="16.5" hidden="1" customHeight="1" thickBot="1">
      <c r="A143" s="452"/>
      <c r="B143" s="3"/>
      <c r="C143" s="3"/>
      <c r="D143" s="43"/>
      <c r="E143" s="3"/>
      <c r="F143" s="3"/>
      <c r="G143" s="3"/>
      <c r="H143" s="458"/>
      <c r="I143" s="35"/>
      <c r="J143" s="629" t="s">
        <v>113</v>
      </c>
      <c r="K143" s="459"/>
      <c r="L143" s="614">
        <f>SUM(L132:L140)</f>
        <v>0</v>
      </c>
      <c r="M143" s="452"/>
      <c r="N143" s="615">
        <f>SUM(N132:N140)</f>
        <v>0</v>
      </c>
      <c r="O143" s="452"/>
      <c r="P143" s="615">
        <f>SUM(P132:P140)</f>
        <v>0</v>
      </c>
      <c r="Q143" s="452"/>
      <c r="R143" s="615">
        <f>SUM(R132:R141)</f>
        <v>0</v>
      </c>
      <c r="S143" s="453"/>
      <c r="T143" s="460"/>
    </row>
    <row r="144" spans="1:20" ht="8.25" hidden="1" customHeight="1">
      <c r="A144" s="447"/>
      <c r="B144" s="4"/>
      <c r="C144" s="4"/>
      <c r="D144" s="10"/>
      <c r="E144" s="3"/>
      <c r="F144" s="461"/>
      <c r="G144" s="4"/>
      <c r="H144" s="447"/>
      <c r="I144" s="447"/>
      <c r="J144" s="462"/>
      <c r="K144" s="3"/>
      <c r="L144" s="4"/>
      <c r="M144" s="447"/>
      <c r="N144" s="447"/>
      <c r="O144" s="447"/>
      <c r="P144" s="447"/>
      <c r="Q144" s="447"/>
      <c r="R144" s="447"/>
      <c r="S144" s="448"/>
    </row>
    <row r="145" spans="1:19" s="464" customFormat="1" ht="16.5" hidden="1" customHeight="1" thickBot="1">
      <c r="A145" s="449"/>
      <c r="B145" s="586"/>
      <c r="C145" s="587"/>
      <c r="D145" s="587"/>
      <c r="E145" s="587"/>
      <c r="F145" s="587"/>
      <c r="G145" s="588"/>
      <c r="H145" s="587"/>
      <c r="I145" s="587"/>
      <c r="J145" s="603" t="s">
        <v>44</v>
      </c>
      <c r="K145" s="587"/>
      <c r="L145" s="587"/>
      <c r="M145" s="588"/>
      <c r="N145" s="588"/>
      <c r="O145" s="588"/>
      <c r="P145" s="588"/>
      <c r="Q145" s="588"/>
      <c r="R145" s="589"/>
      <c r="S145" s="463"/>
    </row>
    <row r="146" spans="1:19" ht="13.5" hidden="1" customHeight="1">
      <c r="A146" s="447"/>
      <c r="B146" s="6"/>
      <c r="C146" s="6"/>
      <c r="D146" s="6"/>
      <c r="E146" s="6"/>
      <c r="F146" s="6"/>
      <c r="G146" s="6"/>
      <c r="H146" s="6"/>
      <c r="I146" s="6"/>
      <c r="J146" s="616" t="s">
        <v>82</v>
      </c>
      <c r="K146" s="465"/>
      <c r="L146" s="616" t="s">
        <v>83</v>
      </c>
      <c r="M146" s="447"/>
      <c r="N146" s="447"/>
      <c r="O146" s="447"/>
      <c r="P146" s="447"/>
      <c r="Q146" s="447"/>
      <c r="R146" s="447"/>
      <c r="S146" s="448"/>
    </row>
    <row r="147" spans="1:19" ht="16.5" hidden="1" customHeight="1" thickBot="1">
      <c r="A147" s="447"/>
      <c r="B147" s="90" t="s">
        <v>243</v>
      </c>
      <c r="C147" s="619"/>
      <c r="D147" s="619"/>
      <c r="E147" s="619"/>
      <c r="F147" s="619"/>
      <c r="G147" s="619"/>
      <c r="H147" s="619"/>
      <c r="I147" s="6"/>
      <c r="J147" s="601">
        <f>R126*3%</f>
        <v>0</v>
      </c>
      <c r="K147" s="6"/>
      <c r="L147" s="617">
        <f>J147/12</f>
        <v>0</v>
      </c>
      <c r="M147" s="447"/>
      <c r="N147" s="447"/>
      <c r="O147" s="447"/>
      <c r="P147" s="447"/>
      <c r="Q147" s="447"/>
      <c r="R147" s="447"/>
      <c r="S147" s="448"/>
    </row>
    <row r="148" spans="1:19" ht="3.75" hidden="1" customHeight="1">
      <c r="A148" s="447"/>
      <c r="B148" s="619"/>
      <c r="C148" s="619"/>
      <c r="D148" s="619"/>
      <c r="E148" s="619"/>
      <c r="F148" s="619"/>
      <c r="G148" s="619"/>
      <c r="H148" s="619"/>
      <c r="I148" s="6"/>
      <c r="J148" s="6"/>
      <c r="K148" s="6"/>
      <c r="L148" s="618"/>
      <c r="M148" s="447"/>
      <c r="N148" s="447"/>
      <c r="O148" s="447"/>
      <c r="P148" s="447"/>
      <c r="Q148" s="447"/>
      <c r="R148" s="447"/>
      <c r="S148" s="448"/>
    </row>
    <row r="149" spans="1:19" ht="16.5" hidden="1" customHeight="1" thickBot="1">
      <c r="A149" s="447"/>
      <c r="B149" s="91" t="s">
        <v>78</v>
      </c>
      <c r="C149" s="619"/>
      <c r="D149" s="619"/>
      <c r="E149" s="619"/>
      <c r="F149" s="619"/>
      <c r="G149" s="619"/>
      <c r="H149" s="619"/>
      <c r="I149" s="6"/>
      <c r="J149" s="601"/>
      <c r="K149" s="6"/>
      <c r="L149" s="617">
        <f>J149/12</f>
        <v>0</v>
      </c>
      <c r="M149" s="447"/>
      <c r="N149" s="447"/>
      <c r="O149" s="447"/>
      <c r="P149" s="516" t="s">
        <v>183</v>
      </c>
      <c r="Q149" s="447"/>
      <c r="R149" s="622">
        <f>L147+L149</f>
        <v>0</v>
      </c>
      <c r="S149" s="448"/>
    </row>
    <row r="150" spans="1:19" hidden="1">
      <c r="A150" s="447"/>
      <c r="B150" s="4"/>
      <c r="C150" s="4"/>
      <c r="D150" s="10"/>
      <c r="E150" s="3"/>
      <c r="F150" s="4"/>
      <c r="G150" s="4"/>
      <c r="H150" s="449"/>
      <c r="I150" s="449"/>
      <c r="J150" s="462"/>
      <c r="K150" s="3"/>
      <c r="L150" s="4"/>
      <c r="M150" s="447"/>
      <c r="N150" s="447"/>
      <c r="O150" s="447"/>
      <c r="P150" s="447"/>
      <c r="Q150" s="447"/>
      <c r="R150" s="447"/>
      <c r="S150" s="448"/>
    </row>
    <row r="151" spans="1:19" ht="21.75" hidden="1" customHeight="1" thickBot="1">
      <c r="A151" s="447"/>
      <c r="B151" s="447"/>
      <c r="C151" s="447"/>
      <c r="D151" s="447"/>
      <c r="E151" s="3"/>
      <c r="F151" s="4"/>
      <c r="G151" s="4"/>
      <c r="H151" s="449"/>
      <c r="I151" s="449"/>
      <c r="J151" s="447"/>
      <c r="K151" s="466"/>
      <c r="L151" s="447"/>
      <c r="M151" s="447"/>
      <c r="N151" s="447"/>
      <c r="O151" s="449"/>
      <c r="P151" s="620" t="s">
        <v>45</v>
      </c>
      <c r="Q151" s="590"/>
      <c r="R151" s="621">
        <f>IF(J126&gt;0,R143+R149,0)</f>
        <v>0</v>
      </c>
      <c r="S151" s="448"/>
    </row>
    <row r="152" spans="1:19" hidden="1">
      <c r="B152" s="467"/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</row>
    <row r="153" spans="1:19" hidden="1">
      <c r="B153" s="467"/>
      <c r="C153" s="467"/>
      <c r="D153" s="467"/>
      <c r="E153" s="467"/>
      <c r="F153" s="467"/>
      <c r="G153" s="467"/>
      <c r="H153" s="467"/>
      <c r="I153" s="467"/>
      <c r="J153" s="467"/>
      <c r="K153" s="467"/>
      <c r="L153" s="467"/>
    </row>
    <row r="154" spans="1:19" ht="21" hidden="1" customHeight="1" thickBot="1">
      <c r="A154" s="447"/>
      <c r="B154" s="1078" t="s">
        <v>421</v>
      </c>
      <c r="C154" s="1079"/>
      <c r="D154" s="1079"/>
      <c r="E154" s="1079"/>
      <c r="F154" s="1079"/>
      <c r="G154" s="1079"/>
      <c r="H154" s="1079"/>
      <c r="I154" s="1079"/>
      <c r="J154" s="1079"/>
      <c r="K154" s="1079"/>
      <c r="L154" s="1079"/>
      <c r="M154" s="1079"/>
      <c r="N154" s="1079"/>
      <c r="O154" s="1079"/>
      <c r="P154" s="1079"/>
      <c r="Q154" s="1079"/>
      <c r="R154" s="1080"/>
      <c r="S154" s="448"/>
    </row>
    <row r="155" spans="1:19" ht="9" hidden="1" customHeight="1">
      <c r="A155" s="44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447"/>
      <c r="M155" s="447"/>
      <c r="N155" s="447"/>
      <c r="O155" s="447"/>
      <c r="P155" s="447"/>
      <c r="Q155" s="447"/>
      <c r="R155" s="447"/>
      <c r="S155" s="448"/>
    </row>
    <row r="156" spans="1:19" ht="15.75" hidden="1" customHeight="1" thickBot="1">
      <c r="A156" s="447"/>
      <c r="B156" s="623" t="s">
        <v>16</v>
      </c>
      <c r="C156" s="57"/>
      <c r="D156" s="624"/>
      <c r="E156" s="68"/>
      <c r="F156" s="625"/>
      <c r="G156" s="626"/>
      <c r="H156" s="64"/>
      <c r="I156" s="447"/>
      <c r="J156" s="602"/>
      <c r="K156" s="645" t="s">
        <v>20</v>
      </c>
      <c r="L156" s="448"/>
      <c r="N156" s="626"/>
      <c r="O156" s="447"/>
      <c r="P156" s="646" t="s">
        <v>241</v>
      </c>
      <c r="Q156" s="447"/>
      <c r="R156" s="601"/>
      <c r="S156" s="448"/>
    </row>
    <row r="157" spans="1:19" ht="9" hidden="1" customHeight="1">
      <c r="A157" s="447"/>
      <c r="B157" s="3"/>
      <c r="C157" s="3"/>
      <c r="D157" s="8"/>
      <c r="E157" s="17"/>
      <c r="F157" s="449"/>
      <c r="G157" s="3"/>
      <c r="H157" s="449"/>
      <c r="I157" s="449"/>
      <c r="J157" s="450"/>
      <c r="K157" s="447"/>
      <c r="L157" s="451"/>
      <c r="M157" s="447"/>
      <c r="N157" s="447"/>
      <c r="O157" s="447"/>
      <c r="P157" s="447"/>
      <c r="Q157" s="447"/>
      <c r="R157" s="447"/>
      <c r="S157" s="448"/>
    </row>
    <row r="158" spans="1:19" ht="16.5" hidden="1" customHeight="1" thickBot="1">
      <c r="A158" s="447"/>
      <c r="B158" s="604"/>
      <c r="C158" s="603"/>
      <c r="D158" s="603"/>
      <c r="E158" s="603"/>
      <c r="F158" s="603"/>
      <c r="G158" s="495"/>
      <c r="H158" s="603"/>
      <c r="I158" s="603"/>
      <c r="J158" s="603" t="s">
        <v>19</v>
      </c>
      <c r="K158" s="603"/>
      <c r="L158" s="603"/>
      <c r="M158" s="495"/>
      <c r="N158" s="495"/>
      <c r="O158" s="495"/>
      <c r="P158" s="495"/>
      <c r="Q158" s="495"/>
      <c r="R158" s="496"/>
      <c r="S158" s="448"/>
    </row>
    <row r="159" spans="1:19" ht="6.75" hidden="1" customHeight="1">
      <c r="A159" s="447"/>
      <c r="B159" s="3"/>
      <c r="C159" s="3"/>
      <c r="D159" s="3"/>
      <c r="E159" s="3"/>
      <c r="F159" s="4"/>
      <c r="G159" s="4"/>
      <c r="H159" s="4"/>
      <c r="I159" s="4"/>
      <c r="J159" s="4"/>
      <c r="K159" s="3"/>
      <c r="L159" s="447"/>
      <c r="M159" s="447"/>
      <c r="N159" s="447"/>
      <c r="O159" s="447"/>
      <c r="P159" s="447"/>
      <c r="Q159" s="447"/>
      <c r="R159" s="447"/>
      <c r="S159" s="448"/>
    </row>
    <row r="160" spans="1:19" ht="25.5" hidden="1" customHeight="1" thickBot="1">
      <c r="A160" s="447"/>
      <c r="B160" s="605" t="s">
        <v>102</v>
      </c>
      <c r="C160" s="606"/>
      <c r="D160" s="603" t="s">
        <v>66</v>
      </c>
      <c r="E160" s="606"/>
      <c r="F160" s="607" t="s">
        <v>67</v>
      </c>
      <c r="G160" s="607"/>
      <c r="H160" s="606" t="s">
        <v>68</v>
      </c>
      <c r="I160" s="537"/>
      <c r="J160" s="603" t="s">
        <v>65</v>
      </c>
      <c r="K160" s="537"/>
      <c r="L160" s="603" t="s">
        <v>18</v>
      </c>
      <c r="M160" s="495"/>
      <c r="N160" s="603" t="s">
        <v>17</v>
      </c>
      <c r="O160" s="495"/>
      <c r="P160" s="608" t="s">
        <v>86</v>
      </c>
      <c r="Q160" s="495"/>
      <c r="R160" s="609" t="s">
        <v>113</v>
      </c>
      <c r="S160" s="448"/>
    </row>
    <row r="161" spans="1:20" hidden="1">
      <c r="A161" s="447"/>
      <c r="B161" s="42"/>
      <c r="C161" s="42"/>
      <c r="D161" s="6"/>
      <c r="E161" s="42"/>
      <c r="F161" s="6"/>
      <c r="G161" s="6"/>
      <c r="H161" s="42"/>
      <c r="I161" s="3"/>
      <c r="J161" s="6"/>
      <c r="K161" s="3"/>
      <c r="L161" s="4"/>
      <c r="M161" s="447"/>
      <c r="N161" s="447"/>
      <c r="O161" s="447"/>
      <c r="P161" s="447"/>
      <c r="Q161" s="447"/>
      <c r="R161" s="447"/>
      <c r="S161" s="448"/>
    </row>
    <row r="162" spans="1:20" s="454" customFormat="1" ht="14.25" hidden="1" customHeight="1">
      <c r="A162" s="452"/>
      <c r="B162" s="68" t="s">
        <v>76</v>
      </c>
      <c r="C162" s="42"/>
      <c r="D162" s="591">
        <v>4</v>
      </c>
      <c r="E162" s="17"/>
      <c r="F162" s="593" t="s">
        <v>29</v>
      </c>
      <c r="G162" s="42"/>
      <c r="H162" s="597"/>
      <c r="I162" s="3"/>
      <c r="J162" s="600"/>
      <c r="K162" s="3"/>
      <c r="L162" s="610">
        <f>IF(H162&gt;0,(J162*D162)/H162,0)</f>
        <v>0</v>
      </c>
      <c r="M162" s="452"/>
      <c r="N162" s="612">
        <f>L162*J156</f>
        <v>0</v>
      </c>
      <c r="O162" s="452"/>
      <c r="P162" s="612">
        <f>IF(Consolidado_A!$G$133&gt;=7.6%,-(0.0165+0.076)*N162,0)</f>
        <v>0</v>
      </c>
      <c r="Q162" s="452"/>
      <c r="R162" s="612">
        <f t="shared" ref="R162:R171" si="10">N162+P162</f>
        <v>0</v>
      </c>
      <c r="S162" s="453"/>
    </row>
    <row r="163" spans="1:20" s="454" customFormat="1" ht="14.25" hidden="1" customHeight="1">
      <c r="A163" s="452"/>
      <c r="B163" s="68" t="s">
        <v>75</v>
      </c>
      <c r="C163" s="17"/>
      <c r="D163" s="591">
        <v>1</v>
      </c>
      <c r="E163" s="17"/>
      <c r="F163" s="593" t="s">
        <v>64</v>
      </c>
      <c r="G163" s="42"/>
      <c r="H163" s="598"/>
      <c r="I163" s="3"/>
      <c r="J163" s="600"/>
      <c r="K163" s="3"/>
      <c r="L163" s="610">
        <f>IF(H163&gt;0,(J163/H163),0)</f>
        <v>0</v>
      </c>
      <c r="M163" s="452"/>
      <c r="N163" s="612">
        <f>L163*J156</f>
        <v>0</v>
      </c>
      <c r="O163" s="452"/>
      <c r="P163" s="612">
        <f>IF(Consolidado_A!$G$133&gt;=7.6%,-(0.0165+0.076)*N163,0)</f>
        <v>0</v>
      </c>
      <c r="Q163" s="452"/>
      <c r="R163" s="612">
        <f t="shared" si="10"/>
        <v>0</v>
      </c>
      <c r="S163" s="453"/>
    </row>
    <row r="164" spans="1:20" s="454" customFormat="1" ht="14.25" hidden="1" customHeight="1">
      <c r="A164" s="452"/>
      <c r="B164" s="68" t="s">
        <v>69</v>
      </c>
      <c r="C164" s="17"/>
      <c r="D164" s="591"/>
      <c r="E164" s="17"/>
      <c r="F164" s="594" t="s">
        <v>64</v>
      </c>
      <c r="G164" s="455"/>
      <c r="H164" s="597"/>
      <c r="I164" s="3"/>
      <c r="J164" s="600"/>
      <c r="K164" s="3"/>
      <c r="L164" s="610">
        <f t="shared" ref="L164:L170" si="11">IF(H164&gt;0,(J164*D164)/H164,0)</f>
        <v>0</v>
      </c>
      <c r="M164" s="452"/>
      <c r="N164" s="612">
        <f>L164*J156</f>
        <v>0</v>
      </c>
      <c r="O164" s="452"/>
      <c r="P164" s="612">
        <f>IF(Consolidado_A!$G$133&gt;=7.6%,-(0.0165+0.076)*N164,0)</f>
        <v>0</v>
      </c>
      <c r="Q164" s="452"/>
      <c r="R164" s="612">
        <f t="shared" si="10"/>
        <v>0</v>
      </c>
      <c r="S164" s="453"/>
    </row>
    <row r="165" spans="1:20" s="454" customFormat="1" ht="14.25" hidden="1" customHeight="1">
      <c r="A165" s="452"/>
      <c r="B165" s="68" t="s">
        <v>70</v>
      </c>
      <c r="C165" s="17"/>
      <c r="D165" s="591">
        <v>1</v>
      </c>
      <c r="E165" s="17"/>
      <c r="F165" s="594" t="s">
        <v>64</v>
      </c>
      <c r="G165" s="455"/>
      <c r="H165" s="597"/>
      <c r="I165" s="3"/>
      <c r="J165" s="600"/>
      <c r="K165" s="3"/>
      <c r="L165" s="610">
        <f t="shared" si="11"/>
        <v>0</v>
      </c>
      <c r="M165" s="452"/>
      <c r="N165" s="612">
        <f>L165*J156</f>
        <v>0</v>
      </c>
      <c r="O165" s="452"/>
      <c r="P165" s="612">
        <f>IF(Consolidado_A!$G$133&gt;=7.6%,-(0.0165+0.076)*N165,0)</f>
        <v>0</v>
      </c>
      <c r="Q165" s="452"/>
      <c r="R165" s="612">
        <f t="shared" si="10"/>
        <v>0</v>
      </c>
      <c r="S165" s="453"/>
    </row>
    <row r="166" spans="1:20" s="454" customFormat="1" ht="14.25" hidden="1" customHeight="1">
      <c r="A166" s="452"/>
      <c r="B166" s="68" t="s">
        <v>71</v>
      </c>
      <c r="C166" s="17"/>
      <c r="D166" s="591">
        <v>1</v>
      </c>
      <c r="E166" s="17"/>
      <c r="F166" s="594" t="s">
        <v>64</v>
      </c>
      <c r="G166" s="455"/>
      <c r="H166" s="597"/>
      <c r="I166" s="3"/>
      <c r="J166" s="600"/>
      <c r="K166" s="3"/>
      <c r="L166" s="610">
        <f t="shared" si="11"/>
        <v>0</v>
      </c>
      <c r="M166" s="452"/>
      <c r="N166" s="612">
        <f>L166*J156</f>
        <v>0</v>
      </c>
      <c r="O166" s="452"/>
      <c r="P166" s="612">
        <f>IF(Consolidado_A!$G$133&gt;=7.6%,-(0.0165+0.076)*N166,0)</f>
        <v>0</v>
      </c>
      <c r="Q166" s="452"/>
      <c r="R166" s="612">
        <f t="shared" si="10"/>
        <v>0</v>
      </c>
      <c r="S166" s="453"/>
    </row>
    <row r="167" spans="1:20" s="454" customFormat="1" ht="14.25" hidden="1" customHeight="1">
      <c r="A167" s="452"/>
      <c r="B167" s="68" t="s">
        <v>72</v>
      </c>
      <c r="C167" s="17"/>
      <c r="D167" s="591">
        <v>1</v>
      </c>
      <c r="E167" s="17"/>
      <c r="F167" s="594" t="s">
        <v>64</v>
      </c>
      <c r="G167" s="455"/>
      <c r="H167" s="597"/>
      <c r="I167" s="3"/>
      <c r="J167" s="600"/>
      <c r="K167" s="3"/>
      <c r="L167" s="610">
        <f t="shared" si="11"/>
        <v>0</v>
      </c>
      <c r="M167" s="452"/>
      <c r="N167" s="612">
        <f>L167*J156</f>
        <v>0</v>
      </c>
      <c r="O167" s="452"/>
      <c r="P167" s="612">
        <f>IF(Consolidado_A!$G$133&gt;=7.6%,-(0.0165+0.076)*N167,0)</f>
        <v>0</v>
      </c>
      <c r="Q167" s="452"/>
      <c r="R167" s="612">
        <f t="shared" si="10"/>
        <v>0</v>
      </c>
      <c r="S167" s="453"/>
    </row>
    <row r="168" spans="1:20" s="454" customFormat="1" ht="14.25" hidden="1" customHeight="1">
      <c r="A168" s="452"/>
      <c r="B168" s="627" t="s">
        <v>73</v>
      </c>
      <c r="C168" s="456"/>
      <c r="D168" s="591">
        <v>1</v>
      </c>
      <c r="E168" s="456"/>
      <c r="F168" s="595" t="s">
        <v>64</v>
      </c>
      <c r="G168" s="457"/>
      <c r="H168" s="597"/>
      <c r="I168" s="3"/>
      <c r="J168" s="600"/>
      <c r="K168" s="3"/>
      <c r="L168" s="610">
        <f t="shared" si="11"/>
        <v>0</v>
      </c>
      <c r="M168" s="452"/>
      <c r="N168" s="612">
        <f>L168*J156</f>
        <v>0</v>
      </c>
      <c r="O168" s="452"/>
      <c r="P168" s="612">
        <f>IF(Consolidado_A!$G$133&gt;=7.6%,-(0.0165+0.076)*N168,0)</f>
        <v>0</v>
      </c>
      <c r="Q168" s="452"/>
      <c r="R168" s="612">
        <f t="shared" si="10"/>
        <v>0</v>
      </c>
      <c r="S168" s="453"/>
    </row>
    <row r="169" spans="1:20" s="454" customFormat="1" ht="14.25" hidden="1" customHeight="1">
      <c r="A169" s="452"/>
      <c r="B169" s="68" t="s">
        <v>74</v>
      </c>
      <c r="C169" s="17"/>
      <c r="D169" s="591">
        <v>1</v>
      </c>
      <c r="E169" s="17"/>
      <c r="F169" s="595" t="s">
        <v>29</v>
      </c>
      <c r="G169" s="457"/>
      <c r="H169" s="597"/>
      <c r="I169" s="3"/>
      <c r="J169" s="600"/>
      <c r="K169" s="3"/>
      <c r="L169" s="610">
        <f t="shared" si="11"/>
        <v>0</v>
      </c>
      <c r="M169" s="452"/>
      <c r="N169" s="612">
        <f>L169*J156</f>
        <v>0</v>
      </c>
      <c r="O169" s="452"/>
      <c r="P169" s="612">
        <f>IF(Consolidado_A!$G$133&gt;=7.6%,-(0.0165+0.076)*N169,0)</f>
        <v>0</v>
      </c>
      <c r="Q169" s="452"/>
      <c r="R169" s="612">
        <f t="shared" si="10"/>
        <v>0</v>
      </c>
      <c r="S169" s="453"/>
    </row>
    <row r="170" spans="1:20" s="454" customFormat="1" ht="14.25" hidden="1" customHeight="1" thickBot="1">
      <c r="A170" s="452"/>
      <c r="B170" s="57" t="s">
        <v>77</v>
      </c>
      <c r="C170" s="3"/>
      <c r="D170" s="592"/>
      <c r="E170" s="3"/>
      <c r="F170" s="596" t="s">
        <v>29</v>
      </c>
      <c r="G170" s="3"/>
      <c r="H170" s="597"/>
      <c r="I170" s="3"/>
      <c r="J170" s="600"/>
      <c r="K170" s="3"/>
      <c r="L170" s="610">
        <f t="shared" si="11"/>
        <v>0</v>
      </c>
      <c r="M170" s="452"/>
      <c r="N170" s="612">
        <f>L170*J156</f>
        <v>0</v>
      </c>
      <c r="O170" s="452"/>
      <c r="P170" s="612">
        <f>IF(Consolidado_A!$G$133&gt;=7.6%,-(0.0165+0.076)*N170,0)</f>
        <v>0</v>
      </c>
      <c r="Q170" s="452"/>
      <c r="R170" s="612">
        <f t="shared" si="10"/>
        <v>0</v>
      </c>
      <c r="S170" s="453"/>
    </row>
    <row r="171" spans="1:20" ht="14.25" hidden="1" customHeight="1" thickBot="1">
      <c r="A171" s="447"/>
      <c r="B171" s="628" t="s">
        <v>242</v>
      </c>
      <c r="C171" s="3"/>
      <c r="D171" s="454"/>
      <c r="E171" s="3"/>
      <c r="F171" s="457"/>
      <c r="G171" s="3"/>
      <c r="H171" s="599"/>
      <c r="I171" s="3"/>
      <c r="J171" s="510">
        <v>0.01</v>
      </c>
      <c r="K171" s="3"/>
      <c r="L171" s="611">
        <f>IF(H171&gt;0,J171*(R156-(D163*J163))/H171,0)</f>
        <v>0</v>
      </c>
      <c r="M171" s="447"/>
      <c r="N171" s="613">
        <f>L171*J156</f>
        <v>0</v>
      </c>
      <c r="O171" s="447"/>
      <c r="P171" s="613">
        <f>IF(Consolidado_A!$G$133&gt;=7.6%,-(0.0165+0.076)*N171,0)</f>
        <v>0</v>
      </c>
      <c r="Q171" s="447"/>
      <c r="R171" s="613">
        <f t="shared" si="10"/>
        <v>0</v>
      </c>
      <c r="S171" s="448"/>
    </row>
    <row r="172" spans="1:20" ht="4.5" hidden="1" customHeight="1">
      <c r="A172" s="447"/>
      <c r="B172" s="447"/>
      <c r="C172" s="447"/>
      <c r="D172" s="447"/>
      <c r="E172" s="3"/>
      <c r="F172" s="4"/>
      <c r="G172" s="4"/>
      <c r="H172" s="4"/>
      <c r="I172" s="4"/>
      <c r="J172" s="4"/>
      <c r="K172" s="3"/>
      <c r="L172" s="4"/>
      <c r="M172" s="447"/>
      <c r="N172" s="447"/>
      <c r="O172" s="447"/>
      <c r="P172" s="447"/>
      <c r="Q172" s="447"/>
      <c r="R172" s="447"/>
      <c r="S172" s="448"/>
    </row>
    <row r="173" spans="1:20" s="454" customFormat="1" ht="16.5" hidden="1" customHeight="1" thickBot="1">
      <c r="A173" s="452"/>
      <c r="B173" s="3"/>
      <c r="C173" s="3"/>
      <c r="D173" s="43"/>
      <c r="E173" s="3"/>
      <c r="F173" s="3"/>
      <c r="G173" s="3"/>
      <c r="H173" s="458"/>
      <c r="I173" s="35"/>
      <c r="J173" s="629" t="s">
        <v>113</v>
      </c>
      <c r="K173" s="459"/>
      <c r="L173" s="614">
        <f>SUM(L162:L170)</f>
        <v>0</v>
      </c>
      <c r="M173" s="452"/>
      <c r="N173" s="615">
        <f>SUM(N162:N170)</f>
        <v>0</v>
      </c>
      <c r="O173" s="452"/>
      <c r="P173" s="615">
        <f>SUM(P162:P170)</f>
        <v>0</v>
      </c>
      <c r="Q173" s="452"/>
      <c r="R173" s="615">
        <f>SUM(R162:R171)</f>
        <v>0</v>
      </c>
      <c r="S173" s="453"/>
      <c r="T173" s="460"/>
    </row>
    <row r="174" spans="1:20" ht="8.25" hidden="1" customHeight="1">
      <c r="A174" s="447"/>
      <c r="B174" s="4"/>
      <c r="C174" s="4"/>
      <c r="D174" s="10"/>
      <c r="E174" s="3"/>
      <c r="F174" s="461"/>
      <c r="G174" s="4"/>
      <c r="H174" s="447"/>
      <c r="I174" s="447"/>
      <c r="J174" s="462"/>
      <c r="K174" s="3"/>
      <c r="L174" s="4"/>
      <c r="M174" s="447"/>
      <c r="N174" s="447"/>
      <c r="O174" s="447"/>
      <c r="P174" s="447"/>
      <c r="Q174" s="447"/>
      <c r="R174" s="447"/>
      <c r="S174" s="448"/>
    </row>
    <row r="175" spans="1:20" s="464" customFormat="1" ht="16.5" hidden="1" customHeight="1" thickBot="1">
      <c r="A175" s="449"/>
      <c r="B175" s="586"/>
      <c r="C175" s="587"/>
      <c r="D175" s="587"/>
      <c r="E175" s="587"/>
      <c r="F175" s="587"/>
      <c r="G175" s="588"/>
      <c r="H175" s="587"/>
      <c r="I175" s="587"/>
      <c r="J175" s="603" t="s">
        <v>44</v>
      </c>
      <c r="K175" s="587"/>
      <c r="L175" s="587"/>
      <c r="M175" s="588"/>
      <c r="N175" s="588"/>
      <c r="O175" s="588"/>
      <c r="P175" s="588"/>
      <c r="Q175" s="588"/>
      <c r="R175" s="589"/>
      <c r="S175" s="463"/>
    </row>
    <row r="176" spans="1:20" ht="13.5" hidden="1" customHeight="1">
      <c r="A176" s="447"/>
      <c r="B176" s="6"/>
      <c r="C176" s="6"/>
      <c r="D176" s="6"/>
      <c r="E176" s="6"/>
      <c r="F176" s="6"/>
      <c r="G176" s="6"/>
      <c r="H176" s="6"/>
      <c r="I176" s="6"/>
      <c r="J176" s="616" t="s">
        <v>82</v>
      </c>
      <c r="K176" s="465"/>
      <c r="L176" s="616" t="s">
        <v>83</v>
      </c>
      <c r="M176" s="447"/>
      <c r="N176" s="447"/>
      <c r="O176" s="447"/>
      <c r="P176" s="447"/>
      <c r="Q176" s="447"/>
      <c r="R176" s="447"/>
      <c r="S176" s="448"/>
    </row>
    <row r="177" spans="1:19" ht="16.5" hidden="1" customHeight="1" thickBot="1">
      <c r="A177" s="447"/>
      <c r="B177" s="90" t="s">
        <v>243</v>
      </c>
      <c r="C177" s="619"/>
      <c r="D177" s="619"/>
      <c r="E177" s="619"/>
      <c r="F177" s="619"/>
      <c r="G177" s="619"/>
      <c r="H177" s="619"/>
      <c r="I177" s="6"/>
      <c r="J177" s="601">
        <f>R156*3%</f>
        <v>0</v>
      </c>
      <c r="K177" s="6"/>
      <c r="L177" s="617">
        <f>J177/12</f>
        <v>0</v>
      </c>
      <c r="M177" s="447"/>
      <c r="N177" s="447"/>
      <c r="O177" s="447"/>
      <c r="P177" s="447"/>
      <c r="Q177" s="447"/>
      <c r="R177" s="447"/>
      <c r="S177" s="448"/>
    </row>
    <row r="178" spans="1:19" ht="3.75" hidden="1" customHeight="1">
      <c r="A178" s="447"/>
      <c r="B178" s="619"/>
      <c r="C178" s="619"/>
      <c r="D178" s="619"/>
      <c r="E178" s="619"/>
      <c r="F178" s="619"/>
      <c r="G178" s="619"/>
      <c r="H178" s="619"/>
      <c r="I178" s="6"/>
      <c r="J178" s="6"/>
      <c r="K178" s="6"/>
      <c r="L178" s="618"/>
      <c r="M178" s="447"/>
      <c r="N178" s="447"/>
      <c r="O178" s="447"/>
      <c r="P178" s="447"/>
      <c r="Q178" s="447"/>
      <c r="R178" s="447"/>
      <c r="S178" s="448"/>
    </row>
    <row r="179" spans="1:19" ht="16.5" hidden="1" customHeight="1" thickBot="1">
      <c r="A179" s="447"/>
      <c r="B179" s="91" t="s">
        <v>78</v>
      </c>
      <c r="C179" s="619"/>
      <c r="D179" s="619"/>
      <c r="E179" s="619"/>
      <c r="F179" s="619"/>
      <c r="G179" s="619"/>
      <c r="H179" s="619"/>
      <c r="I179" s="6"/>
      <c r="J179" s="601"/>
      <c r="K179" s="6"/>
      <c r="L179" s="617">
        <f>J179/12</f>
        <v>0</v>
      </c>
      <c r="M179" s="447"/>
      <c r="N179" s="447"/>
      <c r="O179" s="447"/>
      <c r="P179" s="516" t="s">
        <v>183</v>
      </c>
      <c r="Q179" s="447"/>
      <c r="R179" s="622">
        <f>L177+L179</f>
        <v>0</v>
      </c>
      <c r="S179" s="448"/>
    </row>
    <row r="180" spans="1:19" hidden="1">
      <c r="A180" s="447"/>
      <c r="B180" s="4"/>
      <c r="C180" s="4"/>
      <c r="D180" s="10"/>
      <c r="E180" s="3"/>
      <c r="F180" s="4"/>
      <c r="G180" s="4"/>
      <c r="H180" s="449"/>
      <c r="I180" s="449"/>
      <c r="J180" s="462"/>
      <c r="K180" s="3"/>
      <c r="L180" s="4"/>
      <c r="M180" s="447"/>
      <c r="N180" s="447"/>
      <c r="O180" s="447"/>
      <c r="P180" s="447"/>
      <c r="Q180" s="447"/>
      <c r="R180" s="447"/>
      <c r="S180" s="448"/>
    </row>
    <row r="181" spans="1:19" ht="21.75" hidden="1" customHeight="1" thickBot="1">
      <c r="A181" s="447"/>
      <c r="B181" s="447"/>
      <c r="C181" s="447"/>
      <c r="D181" s="447"/>
      <c r="E181" s="3"/>
      <c r="F181" s="4"/>
      <c r="G181" s="4"/>
      <c r="H181" s="449"/>
      <c r="I181" s="449"/>
      <c r="J181" s="447"/>
      <c r="K181" s="466"/>
      <c r="L181" s="447"/>
      <c r="M181" s="447"/>
      <c r="N181" s="447"/>
      <c r="O181" s="449"/>
      <c r="P181" s="620" t="s">
        <v>45</v>
      </c>
      <c r="Q181" s="590"/>
      <c r="R181" s="621">
        <f>IF(J156&gt;0,R173+R179,0)</f>
        <v>0</v>
      </c>
      <c r="S181" s="448"/>
    </row>
    <row r="182" spans="1:19" hidden="1">
      <c r="B182" s="467"/>
      <c r="C182" s="467"/>
      <c r="D182" s="467"/>
      <c r="E182" s="467"/>
      <c r="F182" s="467"/>
      <c r="G182" s="467"/>
      <c r="H182" s="467"/>
      <c r="I182" s="467"/>
      <c r="J182" s="467"/>
      <c r="K182" s="467"/>
      <c r="L182" s="467"/>
    </row>
    <row r="183" spans="1:19" hidden="1">
      <c r="B183" s="467"/>
      <c r="C183" s="467"/>
      <c r="D183" s="467"/>
      <c r="E183" s="467"/>
      <c r="F183" s="467"/>
      <c r="G183" s="467"/>
      <c r="H183" s="467"/>
      <c r="I183" s="467"/>
      <c r="J183" s="467"/>
      <c r="K183" s="467"/>
      <c r="L183" s="467"/>
    </row>
    <row r="184" spans="1:19" ht="21" hidden="1" customHeight="1" thickBot="1">
      <c r="A184" s="447"/>
      <c r="B184" s="1078" t="s">
        <v>421</v>
      </c>
      <c r="C184" s="1079"/>
      <c r="D184" s="1079"/>
      <c r="E184" s="1079"/>
      <c r="F184" s="1079"/>
      <c r="G184" s="1079"/>
      <c r="H184" s="1079"/>
      <c r="I184" s="1079"/>
      <c r="J184" s="1079"/>
      <c r="K184" s="1079"/>
      <c r="L184" s="1079"/>
      <c r="M184" s="1079"/>
      <c r="N184" s="1079"/>
      <c r="O184" s="1079"/>
      <c r="P184" s="1079"/>
      <c r="Q184" s="1079"/>
      <c r="R184" s="1080"/>
      <c r="S184" s="448"/>
    </row>
    <row r="185" spans="1:19" ht="9" hidden="1" customHeight="1">
      <c r="A185" s="44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447"/>
      <c r="M185" s="447"/>
      <c r="N185" s="447"/>
      <c r="O185" s="447"/>
      <c r="P185" s="447"/>
      <c r="Q185" s="447"/>
      <c r="R185" s="447"/>
      <c r="S185" s="448"/>
    </row>
    <row r="186" spans="1:19" ht="15.75" hidden="1" customHeight="1" thickBot="1">
      <c r="A186" s="447"/>
      <c r="B186" s="623" t="s">
        <v>16</v>
      </c>
      <c r="C186" s="57"/>
      <c r="D186" s="624"/>
      <c r="E186" s="68"/>
      <c r="F186" s="625"/>
      <c r="G186" s="626"/>
      <c r="H186" s="64"/>
      <c r="I186" s="447"/>
      <c r="J186" s="602"/>
      <c r="K186" s="645" t="s">
        <v>20</v>
      </c>
      <c r="L186" s="448"/>
      <c r="N186" s="626"/>
      <c r="O186" s="447"/>
      <c r="P186" s="646" t="s">
        <v>241</v>
      </c>
      <c r="Q186" s="447"/>
      <c r="R186" s="601"/>
      <c r="S186" s="448"/>
    </row>
    <row r="187" spans="1:19" ht="9" hidden="1" customHeight="1">
      <c r="A187" s="447"/>
      <c r="B187" s="3"/>
      <c r="C187" s="3"/>
      <c r="D187" s="8"/>
      <c r="E187" s="17"/>
      <c r="F187" s="449"/>
      <c r="G187" s="3"/>
      <c r="H187" s="449"/>
      <c r="I187" s="449"/>
      <c r="J187" s="450"/>
      <c r="K187" s="447"/>
      <c r="L187" s="451"/>
      <c r="M187" s="447"/>
      <c r="N187" s="447"/>
      <c r="O187" s="447"/>
      <c r="P187" s="447"/>
      <c r="Q187" s="447"/>
      <c r="R187" s="447"/>
      <c r="S187" s="448"/>
    </row>
    <row r="188" spans="1:19" ht="16.5" hidden="1" customHeight="1" thickBot="1">
      <c r="A188" s="447"/>
      <c r="B188" s="604"/>
      <c r="C188" s="603"/>
      <c r="D188" s="603"/>
      <c r="E188" s="603"/>
      <c r="F188" s="603"/>
      <c r="G188" s="495"/>
      <c r="H188" s="603"/>
      <c r="I188" s="603"/>
      <c r="J188" s="603" t="s">
        <v>19</v>
      </c>
      <c r="K188" s="603"/>
      <c r="L188" s="603"/>
      <c r="M188" s="495"/>
      <c r="N188" s="495"/>
      <c r="O188" s="495"/>
      <c r="P188" s="495"/>
      <c r="Q188" s="495"/>
      <c r="R188" s="496"/>
      <c r="S188" s="448"/>
    </row>
    <row r="189" spans="1:19" ht="6.75" hidden="1" customHeight="1">
      <c r="A189" s="447"/>
      <c r="B189" s="3"/>
      <c r="C189" s="3"/>
      <c r="D189" s="3"/>
      <c r="E189" s="3"/>
      <c r="F189" s="4"/>
      <c r="G189" s="4"/>
      <c r="H189" s="4"/>
      <c r="I189" s="4"/>
      <c r="J189" s="4"/>
      <c r="K189" s="3"/>
      <c r="L189" s="447"/>
      <c r="M189" s="447"/>
      <c r="N189" s="447"/>
      <c r="O189" s="447"/>
      <c r="P189" s="447"/>
      <c r="Q189" s="447"/>
      <c r="R189" s="447"/>
      <c r="S189" s="448"/>
    </row>
    <row r="190" spans="1:19" ht="25.5" hidden="1" customHeight="1" thickBot="1">
      <c r="A190" s="447"/>
      <c r="B190" s="605" t="s">
        <v>102</v>
      </c>
      <c r="C190" s="606"/>
      <c r="D190" s="603" t="s">
        <v>66</v>
      </c>
      <c r="E190" s="606"/>
      <c r="F190" s="607" t="s">
        <v>67</v>
      </c>
      <c r="G190" s="607"/>
      <c r="H190" s="606" t="s">
        <v>68</v>
      </c>
      <c r="I190" s="537"/>
      <c r="J190" s="603" t="s">
        <v>65</v>
      </c>
      <c r="K190" s="537"/>
      <c r="L190" s="603" t="s">
        <v>18</v>
      </c>
      <c r="M190" s="495"/>
      <c r="N190" s="603" t="s">
        <v>17</v>
      </c>
      <c r="O190" s="495"/>
      <c r="P190" s="608" t="s">
        <v>86</v>
      </c>
      <c r="Q190" s="495"/>
      <c r="R190" s="609" t="s">
        <v>113</v>
      </c>
      <c r="S190" s="448"/>
    </row>
    <row r="191" spans="1:19" hidden="1">
      <c r="A191" s="447"/>
      <c r="B191" s="42"/>
      <c r="C191" s="42"/>
      <c r="D191" s="6"/>
      <c r="E191" s="42"/>
      <c r="F191" s="6"/>
      <c r="G191" s="6"/>
      <c r="H191" s="42"/>
      <c r="I191" s="3"/>
      <c r="J191" s="6"/>
      <c r="K191" s="3"/>
      <c r="L191" s="4"/>
      <c r="M191" s="447"/>
      <c r="N191" s="447"/>
      <c r="O191" s="447"/>
      <c r="P191" s="447"/>
      <c r="Q191" s="447"/>
      <c r="R191" s="447"/>
      <c r="S191" s="448"/>
    </row>
    <row r="192" spans="1:19" s="454" customFormat="1" ht="14.25" hidden="1" customHeight="1">
      <c r="A192" s="452"/>
      <c r="B192" s="68" t="s">
        <v>76</v>
      </c>
      <c r="C192" s="42"/>
      <c r="D192" s="591">
        <v>4</v>
      </c>
      <c r="E192" s="17"/>
      <c r="F192" s="593" t="s">
        <v>29</v>
      </c>
      <c r="G192" s="42"/>
      <c r="H192" s="597"/>
      <c r="I192" s="3"/>
      <c r="J192" s="600"/>
      <c r="K192" s="3"/>
      <c r="L192" s="610">
        <f>IF(H192&gt;0,(J192*D192)/H192,0)</f>
        <v>0</v>
      </c>
      <c r="M192" s="452"/>
      <c r="N192" s="612">
        <f>L192*J186</f>
        <v>0</v>
      </c>
      <c r="O192" s="452"/>
      <c r="P192" s="612">
        <f>IF(Consolidado_A!$G$133&gt;=7.6%,-(0.0165+0.076)*N192,0)</f>
        <v>0</v>
      </c>
      <c r="Q192" s="452"/>
      <c r="R192" s="612">
        <f t="shared" ref="R192:R201" si="12">N192+P192</f>
        <v>0</v>
      </c>
      <c r="S192" s="453"/>
    </row>
    <row r="193" spans="1:20" s="454" customFormat="1" ht="14.25" hidden="1" customHeight="1">
      <c r="A193" s="452"/>
      <c r="B193" s="68" t="s">
        <v>75</v>
      </c>
      <c r="C193" s="17"/>
      <c r="D193" s="591">
        <v>1</v>
      </c>
      <c r="E193" s="17"/>
      <c r="F193" s="593" t="s">
        <v>64</v>
      </c>
      <c r="G193" s="42"/>
      <c r="H193" s="598"/>
      <c r="I193" s="3"/>
      <c r="J193" s="600"/>
      <c r="K193" s="3"/>
      <c r="L193" s="610">
        <f>IF(H193&gt;0,(J193/H193),0)</f>
        <v>0</v>
      </c>
      <c r="M193" s="452"/>
      <c r="N193" s="612">
        <f>L193*J186</f>
        <v>0</v>
      </c>
      <c r="O193" s="452"/>
      <c r="P193" s="612">
        <f>IF(Consolidado_A!$G$133&gt;=7.6%,-(0.0165+0.076)*N193,0)</f>
        <v>0</v>
      </c>
      <c r="Q193" s="452"/>
      <c r="R193" s="612">
        <f t="shared" si="12"/>
        <v>0</v>
      </c>
      <c r="S193" s="453"/>
    </row>
    <row r="194" spans="1:20" s="454" customFormat="1" ht="14.25" hidden="1" customHeight="1">
      <c r="A194" s="452"/>
      <c r="B194" s="68" t="s">
        <v>69</v>
      </c>
      <c r="C194" s="17"/>
      <c r="D194" s="591"/>
      <c r="E194" s="17"/>
      <c r="F194" s="594" t="s">
        <v>64</v>
      </c>
      <c r="G194" s="455"/>
      <c r="H194" s="597"/>
      <c r="I194" s="3"/>
      <c r="J194" s="600"/>
      <c r="K194" s="3"/>
      <c r="L194" s="610">
        <f t="shared" ref="L194:L200" si="13">IF(H194&gt;0,(J194*D194)/H194,0)</f>
        <v>0</v>
      </c>
      <c r="M194" s="452"/>
      <c r="N194" s="612">
        <f>L194*J186</f>
        <v>0</v>
      </c>
      <c r="O194" s="452"/>
      <c r="P194" s="612">
        <f>IF(Consolidado_A!$G$133&gt;=7.6%,-(0.0165+0.076)*N194,0)</f>
        <v>0</v>
      </c>
      <c r="Q194" s="452"/>
      <c r="R194" s="612">
        <f t="shared" si="12"/>
        <v>0</v>
      </c>
      <c r="S194" s="453"/>
    </row>
    <row r="195" spans="1:20" s="454" customFormat="1" ht="14.25" hidden="1" customHeight="1">
      <c r="A195" s="452"/>
      <c r="B195" s="68" t="s">
        <v>70</v>
      </c>
      <c r="C195" s="17"/>
      <c r="D195" s="591">
        <v>1</v>
      </c>
      <c r="E195" s="17"/>
      <c r="F195" s="594" t="s">
        <v>64</v>
      </c>
      <c r="G195" s="455"/>
      <c r="H195" s="597"/>
      <c r="I195" s="3"/>
      <c r="J195" s="600"/>
      <c r="K195" s="3"/>
      <c r="L195" s="610">
        <f t="shared" si="13"/>
        <v>0</v>
      </c>
      <c r="M195" s="452"/>
      <c r="N195" s="612">
        <f>L195*J186</f>
        <v>0</v>
      </c>
      <c r="O195" s="452"/>
      <c r="P195" s="612">
        <f>IF(Consolidado_A!$G$133&gt;=7.6%,-(0.0165+0.076)*N195,0)</f>
        <v>0</v>
      </c>
      <c r="Q195" s="452"/>
      <c r="R195" s="612">
        <f t="shared" si="12"/>
        <v>0</v>
      </c>
      <c r="S195" s="453"/>
    </row>
    <row r="196" spans="1:20" s="454" customFormat="1" ht="14.25" hidden="1" customHeight="1">
      <c r="A196" s="452"/>
      <c r="B196" s="68" t="s">
        <v>71</v>
      </c>
      <c r="C196" s="17"/>
      <c r="D196" s="591">
        <v>1</v>
      </c>
      <c r="E196" s="17"/>
      <c r="F196" s="594" t="s">
        <v>64</v>
      </c>
      <c r="G196" s="455"/>
      <c r="H196" s="597"/>
      <c r="I196" s="3"/>
      <c r="J196" s="600"/>
      <c r="K196" s="3"/>
      <c r="L196" s="610">
        <f t="shared" si="13"/>
        <v>0</v>
      </c>
      <c r="M196" s="452"/>
      <c r="N196" s="612">
        <f>L196*J186</f>
        <v>0</v>
      </c>
      <c r="O196" s="452"/>
      <c r="P196" s="612">
        <f>IF(Consolidado_A!$G$133&gt;=7.6%,-(0.0165+0.076)*N196,0)</f>
        <v>0</v>
      </c>
      <c r="Q196" s="452"/>
      <c r="R196" s="612">
        <f t="shared" si="12"/>
        <v>0</v>
      </c>
      <c r="S196" s="453"/>
    </row>
    <row r="197" spans="1:20" s="454" customFormat="1" ht="14.25" hidden="1" customHeight="1">
      <c r="A197" s="452"/>
      <c r="B197" s="68" t="s">
        <v>72</v>
      </c>
      <c r="C197" s="17"/>
      <c r="D197" s="591">
        <v>1</v>
      </c>
      <c r="E197" s="17"/>
      <c r="F197" s="594" t="s">
        <v>64</v>
      </c>
      <c r="G197" s="455"/>
      <c r="H197" s="597"/>
      <c r="I197" s="3"/>
      <c r="J197" s="600"/>
      <c r="K197" s="3"/>
      <c r="L197" s="610">
        <f t="shared" si="13"/>
        <v>0</v>
      </c>
      <c r="M197" s="452"/>
      <c r="N197" s="612">
        <f>L197*J186</f>
        <v>0</v>
      </c>
      <c r="O197" s="452"/>
      <c r="P197" s="612">
        <f>IF(Consolidado_A!$G$133&gt;=7.6%,-(0.0165+0.076)*N197,0)</f>
        <v>0</v>
      </c>
      <c r="Q197" s="452"/>
      <c r="R197" s="612">
        <f t="shared" si="12"/>
        <v>0</v>
      </c>
      <c r="S197" s="453"/>
    </row>
    <row r="198" spans="1:20" s="454" customFormat="1" ht="14.25" hidden="1" customHeight="1">
      <c r="A198" s="452"/>
      <c r="B198" s="627" t="s">
        <v>73</v>
      </c>
      <c r="C198" s="456"/>
      <c r="D198" s="591">
        <v>1</v>
      </c>
      <c r="E198" s="456"/>
      <c r="F198" s="595" t="s">
        <v>64</v>
      </c>
      <c r="G198" s="457"/>
      <c r="H198" s="597"/>
      <c r="I198" s="3"/>
      <c r="J198" s="600"/>
      <c r="K198" s="3"/>
      <c r="L198" s="610">
        <f t="shared" si="13"/>
        <v>0</v>
      </c>
      <c r="M198" s="452"/>
      <c r="N198" s="612">
        <f>L198*J186</f>
        <v>0</v>
      </c>
      <c r="O198" s="452"/>
      <c r="P198" s="612">
        <f>IF(Consolidado_A!$G$133&gt;=7.6%,-(0.0165+0.076)*N198,0)</f>
        <v>0</v>
      </c>
      <c r="Q198" s="452"/>
      <c r="R198" s="612">
        <f t="shared" si="12"/>
        <v>0</v>
      </c>
      <c r="S198" s="453"/>
    </row>
    <row r="199" spans="1:20" s="454" customFormat="1" ht="14.25" hidden="1" customHeight="1">
      <c r="A199" s="452"/>
      <c r="B199" s="68" t="s">
        <v>74</v>
      </c>
      <c r="C199" s="17"/>
      <c r="D199" s="591">
        <v>1</v>
      </c>
      <c r="E199" s="17"/>
      <c r="F199" s="595" t="s">
        <v>29</v>
      </c>
      <c r="G199" s="457"/>
      <c r="H199" s="597"/>
      <c r="I199" s="3"/>
      <c r="J199" s="600"/>
      <c r="K199" s="3"/>
      <c r="L199" s="610">
        <f t="shared" si="13"/>
        <v>0</v>
      </c>
      <c r="M199" s="452"/>
      <c r="N199" s="612">
        <f>L199*J186</f>
        <v>0</v>
      </c>
      <c r="O199" s="452"/>
      <c r="P199" s="612">
        <f>IF(Consolidado_A!$G$133&gt;=7.6%,-(0.0165+0.076)*N199,0)</f>
        <v>0</v>
      </c>
      <c r="Q199" s="452"/>
      <c r="R199" s="612">
        <f t="shared" si="12"/>
        <v>0</v>
      </c>
      <c r="S199" s="453"/>
    </row>
    <row r="200" spans="1:20" s="454" customFormat="1" ht="14.25" hidden="1" customHeight="1" thickBot="1">
      <c r="A200" s="452"/>
      <c r="B200" s="57" t="s">
        <v>77</v>
      </c>
      <c r="C200" s="3"/>
      <c r="D200" s="592"/>
      <c r="E200" s="3"/>
      <c r="F200" s="596" t="s">
        <v>29</v>
      </c>
      <c r="G200" s="3"/>
      <c r="H200" s="597"/>
      <c r="I200" s="3"/>
      <c r="J200" s="600"/>
      <c r="K200" s="3"/>
      <c r="L200" s="610">
        <f t="shared" si="13"/>
        <v>0</v>
      </c>
      <c r="M200" s="452"/>
      <c r="N200" s="612">
        <f>L200*J186</f>
        <v>0</v>
      </c>
      <c r="O200" s="452"/>
      <c r="P200" s="612">
        <f>IF(Consolidado_A!$G$133&gt;=7.6%,-(0.0165+0.076)*N200,0)</f>
        <v>0</v>
      </c>
      <c r="Q200" s="452"/>
      <c r="R200" s="612">
        <f t="shared" si="12"/>
        <v>0</v>
      </c>
      <c r="S200" s="453"/>
    </row>
    <row r="201" spans="1:20" ht="14.25" hidden="1" customHeight="1" thickBot="1">
      <c r="A201" s="447"/>
      <c r="B201" s="628" t="s">
        <v>242</v>
      </c>
      <c r="C201" s="3"/>
      <c r="D201" s="454"/>
      <c r="E201" s="3"/>
      <c r="F201" s="457"/>
      <c r="G201" s="3"/>
      <c r="H201" s="599"/>
      <c r="I201" s="3"/>
      <c r="J201" s="510">
        <v>0.01</v>
      </c>
      <c r="K201" s="3"/>
      <c r="L201" s="611">
        <f>IF(H201&gt;0,J201*(R186-(D193*J193))/H201,0)</f>
        <v>0</v>
      </c>
      <c r="M201" s="447"/>
      <c r="N201" s="613">
        <f>L201*J186</f>
        <v>0</v>
      </c>
      <c r="O201" s="447"/>
      <c r="P201" s="613">
        <f>IF(Consolidado_A!$G$133&gt;=7.6%,-(0.0165+0.076)*N201,0)</f>
        <v>0</v>
      </c>
      <c r="Q201" s="447"/>
      <c r="R201" s="613">
        <f t="shared" si="12"/>
        <v>0</v>
      </c>
      <c r="S201" s="448"/>
    </row>
    <row r="202" spans="1:20" ht="4.5" hidden="1" customHeight="1">
      <c r="A202" s="447"/>
      <c r="B202" s="447"/>
      <c r="C202" s="447"/>
      <c r="D202" s="447"/>
      <c r="E202" s="3"/>
      <c r="F202" s="4"/>
      <c r="G202" s="4"/>
      <c r="H202" s="4"/>
      <c r="I202" s="4"/>
      <c r="J202" s="4"/>
      <c r="K202" s="3"/>
      <c r="L202" s="4"/>
      <c r="M202" s="447"/>
      <c r="N202" s="447"/>
      <c r="O202" s="447"/>
      <c r="P202" s="447"/>
      <c r="Q202" s="447"/>
      <c r="R202" s="447"/>
      <c r="S202" s="448"/>
    </row>
    <row r="203" spans="1:20" s="454" customFormat="1" ht="16.5" hidden="1" customHeight="1" thickBot="1">
      <c r="A203" s="452"/>
      <c r="B203" s="3"/>
      <c r="C203" s="3"/>
      <c r="D203" s="43"/>
      <c r="E203" s="3"/>
      <c r="F203" s="3"/>
      <c r="G203" s="3"/>
      <c r="H203" s="458"/>
      <c r="I203" s="35"/>
      <c r="J203" s="629" t="s">
        <v>113</v>
      </c>
      <c r="K203" s="459"/>
      <c r="L203" s="614">
        <f>SUM(L192:L200)</f>
        <v>0</v>
      </c>
      <c r="M203" s="452"/>
      <c r="N203" s="615">
        <f>SUM(N192:N200)</f>
        <v>0</v>
      </c>
      <c r="O203" s="452"/>
      <c r="P203" s="615">
        <f>SUM(P192:P200)</f>
        <v>0</v>
      </c>
      <c r="Q203" s="452"/>
      <c r="R203" s="615">
        <f>SUM(R192:R201)</f>
        <v>0</v>
      </c>
      <c r="S203" s="453"/>
      <c r="T203" s="460"/>
    </row>
    <row r="204" spans="1:20" ht="8.25" hidden="1" customHeight="1">
      <c r="A204" s="447"/>
      <c r="B204" s="4"/>
      <c r="C204" s="4"/>
      <c r="D204" s="10"/>
      <c r="E204" s="3"/>
      <c r="F204" s="461"/>
      <c r="G204" s="4"/>
      <c r="H204" s="447"/>
      <c r="I204" s="447"/>
      <c r="J204" s="462"/>
      <c r="K204" s="3"/>
      <c r="L204" s="4"/>
      <c r="M204" s="447"/>
      <c r="N204" s="447"/>
      <c r="O204" s="447"/>
      <c r="P204" s="447"/>
      <c r="Q204" s="447"/>
      <c r="R204" s="447"/>
      <c r="S204" s="448"/>
    </row>
    <row r="205" spans="1:20" s="464" customFormat="1" ht="16.5" hidden="1" customHeight="1" thickBot="1">
      <c r="A205" s="449"/>
      <c r="B205" s="586"/>
      <c r="C205" s="587"/>
      <c r="D205" s="587"/>
      <c r="E205" s="587"/>
      <c r="F205" s="587"/>
      <c r="G205" s="588"/>
      <c r="H205" s="587"/>
      <c r="I205" s="587"/>
      <c r="J205" s="603" t="s">
        <v>44</v>
      </c>
      <c r="K205" s="587"/>
      <c r="L205" s="587"/>
      <c r="M205" s="588"/>
      <c r="N205" s="588"/>
      <c r="O205" s="588"/>
      <c r="P205" s="588"/>
      <c r="Q205" s="588"/>
      <c r="R205" s="589"/>
      <c r="S205" s="463"/>
    </row>
    <row r="206" spans="1:20" ht="13.5" hidden="1" customHeight="1">
      <c r="A206" s="447"/>
      <c r="B206" s="6"/>
      <c r="C206" s="6"/>
      <c r="D206" s="6"/>
      <c r="E206" s="6"/>
      <c r="F206" s="6"/>
      <c r="G206" s="6"/>
      <c r="H206" s="6"/>
      <c r="I206" s="6"/>
      <c r="J206" s="616" t="s">
        <v>82</v>
      </c>
      <c r="K206" s="465"/>
      <c r="L206" s="616" t="s">
        <v>83</v>
      </c>
      <c r="M206" s="447"/>
      <c r="N206" s="447"/>
      <c r="O206" s="447"/>
      <c r="P206" s="447"/>
      <c r="Q206" s="447"/>
      <c r="R206" s="447"/>
      <c r="S206" s="448"/>
    </row>
    <row r="207" spans="1:20" ht="16.5" hidden="1" customHeight="1" thickBot="1">
      <c r="A207" s="447"/>
      <c r="B207" s="90" t="s">
        <v>243</v>
      </c>
      <c r="C207" s="619"/>
      <c r="D207" s="619"/>
      <c r="E207" s="619"/>
      <c r="F207" s="619"/>
      <c r="G207" s="619"/>
      <c r="H207" s="619"/>
      <c r="I207" s="6"/>
      <c r="J207" s="601">
        <f>R186*3%</f>
        <v>0</v>
      </c>
      <c r="K207" s="6"/>
      <c r="L207" s="617">
        <f>J207/12</f>
        <v>0</v>
      </c>
      <c r="M207" s="447"/>
      <c r="N207" s="447"/>
      <c r="O207" s="447"/>
      <c r="P207" s="447"/>
      <c r="Q207" s="447"/>
      <c r="R207" s="447"/>
      <c r="S207" s="448"/>
    </row>
    <row r="208" spans="1:20" ht="3.75" hidden="1" customHeight="1">
      <c r="A208" s="447"/>
      <c r="B208" s="619"/>
      <c r="C208" s="619"/>
      <c r="D208" s="619"/>
      <c r="E208" s="619"/>
      <c r="F208" s="619"/>
      <c r="G208" s="619"/>
      <c r="H208" s="619"/>
      <c r="I208" s="6"/>
      <c r="J208" s="6"/>
      <c r="K208" s="6"/>
      <c r="L208" s="618"/>
      <c r="M208" s="447"/>
      <c r="N208" s="447"/>
      <c r="O208" s="447"/>
      <c r="P208" s="447"/>
      <c r="Q208" s="447"/>
      <c r="R208" s="447"/>
      <c r="S208" s="448"/>
    </row>
    <row r="209" spans="1:19" ht="16.5" hidden="1" customHeight="1" thickBot="1">
      <c r="A209" s="447"/>
      <c r="B209" s="91" t="s">
        <v>78</v>
      </c>
      <c r="C209" s="619"/>
      <c r="D209" s="619"/>
      <c r="E209" s="619"/>
      <c r="F209" s="619"/>
      <c r="G209" s="619"/>
      <c r="H209" s="619"/>
      <c r="I209" s="6"/>
      <c r="J209" s="601"/>
      <c r="K209" s="6"/>
      <c r="L209" s="617">
        <f>J209/12</f>
        <v>0</v>
      </c>
      <c r="M209" s="447"/>
      <c r="N209" s="447"/>
      <c r="O209" s="447"/>
      <c r="P209" s="516" t="s">
        <v>183</v>
      </c>
      <c r="Q209" s="447"/>
      <c r="R209" s="622">
        <f>L207+L209</f>
        <v>0</v>
      </c>
      <c r="S209" s="448"/>
    </row>
    <row r="210" spans="1:19" hidden="1">
      <c r="A210" s="447"/>
      <c r="B210" s="4"/>
      <c r="C210" s="4"/>
      <c r="D210" s="10"/>
      <c r="E210" s="3"/>
      <c r="F210" s="4"/>
      <c r="G210" s="4"/>
      <c r="H210" s="449"/>
      <c r="I210" s="449"/>
      <c r="J210" s="462"/>
      <c r="K210" s="3"/>
      <c r="L210" s="4"/>
      <c r="M210" s="447"/>
      <c r="N210" s="447"/>
      <c r="O210" s="447"/>
      <c r="P210" s="447"/>
      <c r="Q210" s="447"/>
      <c r="R210" s="447"/>
      <c r="S210" s="448"/>
    </row>
    <row r="211" spans="1:19" ht="21.75" hidden="1" customHeight="1" thickBot="1">
      <c r="A211" s="447"/>
      <c r="B211" s="447"/>
      <c r="C211" s="447"/>
      <c r="D211" s="447"/>
      <c r="E211" s="3"/>
      <c r="F211" s="4"/>
      <c r="G211" s="4"/>
      <c r="H211" s="449"/>
      <c r="I211" s="449"/>
      <c r="J211" s="447"/>
      <c r="K211" s="466"/>
      <c r="L211" s="447"/>
      <c r="M211" s="447"/>
      <c r="N211" s="447"/>
      <c r="O211" s="449"/>
      <c r="P211" s="620" t="s">
        <v>45</v>
      </c>
      <c r="Q211" s="590"/>
      <c r="R211" s="621">
        <f>IF(J186&gt;0,R203+R209,0)</f>
        <v>0</v>
      </c>
      <c r="S211" s="448"/>
    </row>
    <row r="212" spans="1:19" hidden="1">
      <c r="B212" s="467"/>
      <c r="C212" s="467"/>
      <c r="D212" s="467"/>
      <c r="E212" s="467"/>
      <c r="F212" s="467"/>
      <c r="G212" s="467"/>
      <c r="H212" s="467"/>
      <c r="I212" s="467"/>
      <c r="J212" s="467"/>
      <c r="K212" s="467"/>
      <c r="L212" s="467"/>
    </row>
    <row r="213" spans="1:19" hidden="1">
      <c r="B213" s="467"/>
      <c r="C213" s="467"/>
      <c r="D213" s="467"/>
      <c r="E213" s="467"/>
      <c r="F213" s="467"/>
      <c r="G213" s="467"/>
      <c r="H213" s="467"/>
      <c r="I213" s="467"/>
      <c r="J213" s="467"/>
      <c r="K213" s="467"/>
      <c r="L213" s="467"/>
    </row>
    <row r="214" spans="1:19" ht="21" hidden="1" customHeight="1" thickBot="1">
      <c r="A214" s="447"/>
      <c r="B214" s="1078" t="s">
        <v>421</v>
      </c>
      <c r="C214" s="1079"/>
      <c r="D214" s="1079"/>
      <c r="E214" s="1079"/>
      <c r="F214" s="1079"/>
      <c r="G214" s="1079"/>
      <c r="H214" s="1079"/>
      <c r="I214" s="1079"/>
      <c r="J214" s="1079"/>
      <c r="K214" s="1079"/>
      <c r="L214" s="1079"/>
      <c r="M214" s="1079"/>
      <c r="N214" s="1079"/>
      <c r="O214" s="1079"/>
      <c r="P214" s="1079"/>
      <c r="Q214" s="1079"/>
      <c r="R214" s="1080"/>
      <c r="S214" s="448"/>
    </row>
    <row r="215" spans="1:19" ht="9" hidden="1" customHeight="1">
      <c r="A215" s="44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447"/>
      <c r="M215" s="447"/>
      <c r="N215" s="447"/>
      <c r="O215" s="447"/>
      <c r="P215" s="447"/>
      <c r="Q215" s="447"/>
      <c r="R215" s="447"/>
      <c r="S215" s="448"/>
    </row>
    <row r="216" spans="1:19" ht="15.75" hidden="1" customHeight="1" thickBot="1">
      <c r="A216" s="447"/>
      <c r="B216" s="623" t="s">
        <v>16</v>
      </c>
      <c r="C216" s="57"/>
      <c r="D216" s="624"/>
      <c r="E216" s="68"/>
      <c r="F216" s="625"/>
      <c r="G216" s="626"/>
      <c r="H216" s="64"/>
      <c r="I216" s="447"/>
      <c r="J216" s="602"/>
      <c r="K216" s="645" t="s">
        <v>20</v>
      </c>
      <c r="L216" s="448"/>
      <c r="N216" s="626"/>
      <c r="O216" s="447"/>
      <c r="P216" s="646" t="s">
        <v>241</v>
      </c>
      <c r="Q216" s="447"/>
      <c r="R216" s="601"/>
      <c r="S216" s="448"/>
    </row>
    <row r="217" spans="1:19" ht="9" hidden="1" customHeight="1">
      <c r="A217" s="447"/>
      <c r="B217" s="3"/>
      <c r="C217" s="3"/>
      <c r="D217" s="8"/>
      <c r="E217" s="17"/>
      <c r="F217" s="449"/>
      <c r="G217" s="3"/>
      <c r="H217" s="449"/>
      <c r="I217" s="449"/>
      <c r="J217" s="450"/>
      <c r="K217" s="447"/>
      <c r="L217" s="451"/>
      <c r="M217" s="447"/>
      <c r="N217" s="447"/>
      <c r="O217" s="447"/>
      <c r="P217" s="447"/>
      <c r="Q217" s="447"/>
      <c r="R217" s="447"/>
      <c r="S217" s="448"/>
    </row>
    <row r="218" spans="1:19" ht="16.5" hidden="1" customHeight="1" thickBot="1">
      <c r="A218" s="447"/>
      <c r="B218" s="604"/>
      <c r="C218" s="603"/>
      <c r="D218" s="603"/>
      <c r="E218" s="603"/>
      <c r="F218" s="603"/>
      <c r="G218" s="495"/>
      <c r="H218" s="603"/>
      <c r="I218" s="603"/>
      <c r="J218" s="603" t="s">
        <v>19</v>
      </c>
      <c r="K218" s="603"/>
      <c r="L218" s="603"/>
      <c r="M218" s="495"/>
      <c r="N218" s="495"/>
      <c r="O218" s="495"/>
      <c r="P218" s="495"/>
      <c r="Q218" s="495"/>
      <c r="R218" s="496"/>
      <c r="S218" s="448"/>
    </row>
    <row r="219" spans="1:19" ht="6.75" hidden="1" customHeight="1">
      <c r="A219" s="447"/>
      <c r="B219" s="3"/>
      <c r="C219" s="3"/>
      <c r="D219" s="3"/>
      <c r="E219" s="3"/>
      <c r="F219" s="4"/>
      <c r="G219" s="4"/>
      <c r="H219" s="4"/>
      <c r="I219" s="4"/>
      <c r="J219" s="4"/>
      <c r="K219" s="3"/>
      <c r="L219" s="447"/>
      <c r="M219" s="447"/>
      <c r="N219" s="447"/>
      <c r="O219" s="447"/>
      <c r="P219" s="447"/>
      <c r="Q219" s="447"/>
      <c r="R219" s="447"/>
      <c r="S219" s="448"/>
    </row>
    <row r="220" spans="1:19" ht="25.5" hidden="1" customHeight="1" thickBot="1">
      <c r="A220" s="447"/>
      <c r="B220" s="605" t="s">
        <v>102</v>
      </c>
      <c r="C220" s="606"/>
      <c r="D220" s="603" t="s">
        <v>66</v>
      </c>
      <c r="E220" s="606"/>
      <c r="F220" s="607" t="s">
        <v>67</v>
      </c>
      <c r="G220" s="607"/>
      <c r="H220" s="606" t="s">
        <v>68</v>
      </c>
      <c r="I220" s="537"/>
      <c r="J220" s="603" t="s">
        <v>65</v>
      </c>
      <c r="K220" s="537"/>
      <c r="L220" s="603" t="s">
        <v>18</v>
      </c>
      <c r="M220" s="495"/>
      <c r="N220" s="603" t="s">
        <v>17</v>
      </c>
      <c r="O220" s="495"/>
      <c r="P220" s="608" t="s">
        <v>86</v>
      </c>
      <c r="Q220" s="495"/>
      <c r="R220" s="609" t="s">
        <v>113</v>
      </c>
      <c r="S220" s="448"/>
    </row>
    <row r="221" spans="1:19" hidden="1">
      <c r="A221" s="447"/>
      <c r="B221" s="42"/>
      <c r="C221" s="42"/>
      <c r="D221" s="6"/>
      <c r="E221" s="42"/>
      <c r="F221" s="6"/>
      <c r="G221" s="6"/>
      <c r="H221" s="42"/>
      <c r="I221" s="3"/>
      <c r="J221" s="6"/>
      <c r="K221" s="3"/>
      <c r="L221" s="4"/>
      <c r="M221" s="447"/>
      <c r="N221" s="447"/>
      <c r="O221" s="447"/>
      <c r="P221" s="447"/>
      <c r="Q221" s="447"/>
      <c r="R221" s="447"/>
      <c r="S221" s="448"/>
    </row>
    <row r="222" spans="1:19" s="454" customFormat="1" ht="14.25" hidden="1" customHeight="1">
      <c r="A222" s="452"/>
      <c r="B222" s="68" t="s">
        <v>76</v>
      </c>
      <c r="C222" s="42"/>
      <c r="D222" s="591">
        <v>4</v>
      </c>
      <c r="E222" s="17"/>
      <c r="F222" s="593" t="s">
        <v>29</v>
      </c>
      <c r="G222" s="42"/>
      <c r="H222" s="597"/>
      <c r="I222" s="3"/>
      <c r="J222" s="600"/>
      <c r="K222" s="3"/>
      <c r="L222" s="610">
        <f>IF(H222&gt;0,(J222*D222)/H222,0)</f>
        <v>0</v>
      </c>
      <c r="M222" s="452"/>
      <c r="N222" s="612">
        <f>L222*J216</f>
        <v>0</v>
      </c>
      <c r="O222" s="452"/>
      <c r="P222" s="612">
        <f>IF(Consolidado_A!$G$133&gt;=7.6%,-(0.0165+0.076)*N222,0)</f>
        <v>0</v>
      </c>
      <c r="Q222" s="452"/>
      <c r="R222" s="612">
        <f t="shared" ref="R222:R231" si="14">N222+P222</f>
        <v>0</v>
      </c>
      <c r="S222" s="453"/>
    </row>
    <row r="223" spans="1:19" s="454" customFormat="1" ht="14.25" hidden="1" customHeight="1">
      <c r="A223" s="452"/>
      <c r="B223" s="68" t="s">
        <v>75</v>
      </c>
      <c r="C223" s="17"/>
      <c r="D223" s="591">
        <v>1</v>
      </c>
      <c r="E223" s="17"/>
      <c r="F223" s="593" t="s">
        <v>64</v>
      </c>
      <c r="G223" s="42"/>
      <c r="H223" s="598"/>
      <c r="I223" s="3"/>
      <c r="J223" s="600"/>
      <c r="K223" s="3"/>
      <c r="L223" s="610">
        <f>IF(H223&gt;0,(J223/H223),0)</f>
        <v>0</v>
      </c>
      <c r="M223" s="452"/>
      <c r="N223" s="612">
        <f>L223*J216</f>
        <v>0</v>
      </c>
      <c r="O223" s="452"/>
      <c r="P223" s="612">
        <f>IF(Consolidado_A!$G$133&gt;=7.6%,-(0.0165+0.076)*N223,0)</f>
        <v>0</v>
      </c>
      <c r="Q223" s="452"/>
      <c r="R223" s="612">
        <f t="shared" si="14"/>
        <v>0</v>
      </c>
      <c r="S223" s="453"/>
    </row>
    <row r="224" spans="1:19" s="454" customFormat="1" ht="14.25" hidden="1" customHeight="1">
      <c r="A224" s="452"/>
      <c r="B224" s="68" t="s">
        <v>69</v>
      </c>
      <c r="C224" s="17"/>
      <c r="D224" s="591"/>
      <c r="E224" s="17"/>
      <c r="F224" s="594" t="s">
        <v>64</v>
      </c>
      <c r="G224" s="455"/>
      <c r="H224" s="597"/>
      <c r="I224" s="3"/>
      <c r="J224" s="600"/>
      <c r="K224" s="3"/>
      <c r="L224" s="610">
        <f t="shared" ref="L224:L230" si="15">IF(H224&gt;0,(J224*D224)/H224,0)</f>
        <v>0</v>
      </c>
      <c r="M224" s="452"/>
      <c r="N224" s="612">
        <f>L224*J216</f>
        <v>0</v>
      </c>
      <c r="O224" s="452"/>
      <c r="P224" s="612">
        <f>IF(Consolidado_A!$G$133&gt;=7.6%,-(0.0165+0.076)*N224,0)</f>
        <v>0</v>
      </c>
      <c r="Q224" s="452"/>
      <c r="R224" s="612">
        <f t="shared" si="14"/>
        <v>0</v>
      </c>
      <c r="S224" s="453"/>
    </row>
    <row r="225" spans="1:20" s="454" customFormat="1" ht="14.25" hidden="1" customHeight="1">
      <c r="A225" s="452"/>
      <c r="B225" s="68" t="s">
        <v>70</v>
      </c>
      <c r="C225" s="17"/>
      <c r="D225" s="591">
        <v>1</v>
      </c>
      <c r="E225" s="17"/>
      <c r="F225" s="594" t="s">
        <v>64</v>
      </c>
      <c r="G225" s="455"/>
      <c r="H225" s="597"/>
      <c r="I225" s="3"/>
      <c r="J225" s="600"/>
      <c r="K225" s="3"/>
      <c r="L225" s="610">
        <f t="shared" si="15"/>
        <v>0</v>
      </c>
      <c r="M225" s="452"/>
      <c r="N225" s="612">
        <f>L225*J216</f>
        <v>0</v>
      </c>
      <c r="O225" s="452"/>
      <c r="P225" s="612">
        <f>IF(Consolidado_A!$G$133&gt;=7.6%,-(0.0165+0.076)*N225,0)</f>
        <v>0</v>
      </c>
      <c r="Q225" s="452"/>
      <c r="R225" s="612">
        <f t="shared" si="14"/>
        <v>0</v>
      </c>
      <c r="S225" s="453"/>
    </row>
    <row r="226" spans="1:20" s="454" customFormat="1" ht="14.25" hidden="1" customHeight="1">
      <c r="A226" s="452"/>
      <c r="B226" s="68" t="s">
        <v>71</v>
      </c>
      <c r="C226" s="17"/>
      <c r="D226" s="591">
        <v>1</v>
      </c>
      <c r="E226" s="17"/>
      <c r="F226" s="594" t="s">
        <v>64</v>
      </c>
      <c r="G226" s="455"/>
      <c r="H226" s="597"/>
      <c r="I226" s="3"/>
      <c r="J226" s="600"/>
      <c r="K226" s="3"/>
      <c r="L226" s="610">
        <f t="shared" si="15"/>
        <v>0</v>
      </c>
      <c r="M226" s="452"/>
      <c r="N226" s="612">
        <f>L226*J216</f>
        <v>0</v>
      </c>
      <c r="O226" s="452"/>
      <c r="P226" s="612">
        <f>IF(Consolidado_A!$G$133&gt;=7.6%,-(0.0165+0.076)*N226,0)</f>
        <v>0</v>
      </c>
      <c r="Q226" s="452"/>
      <c r="R226" s="612">
        <f t="shared" si="14"/>
        <v>0</v>
      </c>
      <c r="S226" s="453"/>
    </row>
    <row r="227" spans="1:20" s="454" customFormat="1" ht="14.25" hidden="1" customHeight="1">
      <c r="A227" s="452"/>
      <c r="B227" s="68" t="s">
        <v>72</v>
      </c>
      <c r="C227" s="17"/>
      <c r="D227" s="591">
        <v>1</v>
      </c>
      <c r="E227" s="17"/>
      <c r="F227" s="594" t="s">
        <v>64</v>
      </c>
      <c r="G227" s="455"/>
      <c r="H227" s="597"/>
      <c r="I227" s="3"/>
      <c r="J227" s="600"/>
      <c r="K227" s="3"/>
      <c r="L227" s="610">
        <f t="shared" si="15"/>
        <v>0</v>
      </c>
      <c r="M227" s="452"/>
      <c r="N227" s="612">
        <f>L227*J216</f>
        <v>0</v>
      </c>
      <c r="O227" s="452"/>
      <c r="P227" s="612">
        <f>IF(Consolidado_A!$G$133&gt;=7.6%,-(0.0165+0.076)*N227,0)</f>
        <v>0</v>
      </c>
      <c r="Q227" s="452"/>
      <c r="R227" s="612">
        <f t="shared" si="14"/>
        <v>0</v>
      </c>
      <c r="S227" s="453"/>
    </row>
    <row r="228" spans="1:20" s="454" customFormat="1" ht="14.25" hidden="1" customHeight="1">
      <c r="A228" s="452"/>
      <c r="B228" s="627" t="s">
        <v>73</v>
      </c>
      <c r="C228" s="456"/>
      <c r="D228" s="591">
        <v>1</v>
      </c>
      <c r="E228" s="456"/>
      <c r="F228" s="595" t="s">
        <v>64</v>
      </c>
      <c r="G228" s="457"/>
      <c r="H228" s="597"/>
      <c r="I228" s="3"/>
      <c r="J228" s="600"/>
      <c r="K228" s="3"/>
      <c r="L228" s="610">
        <f t="shared" si="15"/>
        <v>0</v>
      </c>
      <c r="M228" s="452"/>
      <c r="N228" s="612">
        <f>L228*J216</f>
        <v>0</v>
      </c>
      <c r="O228" s="452"/>
      <c r="P228" s="612">
        <f>IF(Consolidado_A!$G$133&gt;=7.6%,-(0.0165+0.076)*N228,0)</f>
        <v>0</v>
      </c>
      <c r="Q228" s="452"/>
      <c r="R228" s="612">
        <f t="shared" si="14"/>
        <v>0</v>
      </c>
      <c r="S228" s="453"/>
    </row>
    <row r="229" spans="1:20" s="454" customFormat="1" ht="14.25" hidden="1" customHeight="1">
      <c r="A229" s="452"/>
      <c r="B229" s="68" t="s">
        <v>74</v>
      </c>
      <c r="C229" s="17"/>
      <c r="D229" s="591">
        <v>1</v>
      </c>
      <c r="E229" s="17"/>
      <c r="F229" s="595" t="s">
        <v>29</v>
      </c>
      <c r="G229" s="457"/>
      <c r="H229" s="597"/>
      <c r="I229" s="3"/>
      <c r="J229" s="600"/>
      <c r="K229" s="3"/>
      <c r="L229" s="610">
        <f t="shared" si="15"/>
        <v>0</v>
      </c>
      <c r="M229" s="452"/>
      <c r="N229" s="612">
        <f>L229*J216</f>
        <v>0</v>
      </c>
      <c r="O229" s="452"/>
      <c r="P229" s="612">
        <f>IF(Consolidado_A!$G$133&gt;=7.6%,-(0.0165+0.076)*N229,0)</f>
        <v>0</v>
      </c>
      <c r="Q229" s="452"/>
      <c r="R229" s="612">
        <f t="shared" si="14"/>
        <v>0</v>
      </c>
      <c r="S229" s="453"/>
    </row>
    <row r="230" spans="1:20" s="454" customFormat="1" ht="14.25" hidden="1" customHeight="1" thickBot="1">
      <c r="A230" s="452"/>
      <c r="B230" s="57" t="s">
        <v>77</v>
      </c>
      <c r="C230" s="3"/>
      <c r="D230" s="592"/>
      <c r="E230" s="3"/>
      <c r="F230" s="596" t="s">
        <v>29</v>
      </c>
      <c r="G230" s="3"/>
      <c r="H230" s="597"/>
      <c r="I230" s="3"/>
      <c r="J230" s="600"/>
      <c r="K230" s="3"/>
      <c r="L230" s="610">
        <f t="shared" si="15"/>
        <v>0</v>
      </c>
      <c r="M230" s="452"/>
      <c r="N230" s="612">
        <f>L230*J216</f>
        <v>0</v>
      </c>
      <c r="O230" s="452"/>
      <c r="P230" s="612">
        <f>IF(Consolidado_A!$G$133&gt;=7.6%,-(0.0165+0.076)*N230,0)</f>
        <v>0</v>
      </c>
      <c r="Q230" s="452"/>
      <c r="R230" s="612">
        <f t="shared" si="14"/>
        <v>0</v>
      </c>
      <c r="S230" s="453"/>
    </row>
    <row r="231" spans="1:20" ht="14.25" hidden="1" customHeight="1" thickBot="1">
      <c r="A231" s="447"/>
      <c r="B231" s="628" t="s">
        <v>242</v>
      </c>
      <c r="C231" s="3"/>
      <c r="D231" s="454"/>
      <c r="E231" s="3"/>
      <c r="F231" s="457"/>
      <c r="G231" s="3"/>
      <c r="H231" s="599"/>
      <c r="I231" s="3"/>
      <c r="J231" s="510">
        <v>0.01</v>
      </c>
      <c r="K231" s="3"/>
      <c r="L231" s="611">
        <f>IF(H231&gt;0,J231*(R216-(D223*J223))/H231,0)</f>
        <v>0</v>
      </c>
      <c r="M231" s="447"/>
      <c r="N231" s="613">
        <f>L231*J216</f>
        <v>0</v>
      </c>
      <c r="O231" s="447"/>
      <c r="P231" s="613">
        <f>IF(Consolidado_A!$G$133&gt;=7.6%,-(0.0165+0.076)*N231,0)</f>
        <v>0</v>
      </c>
      <c r="Q231" s="447"/>
      <c r="R231" s="613">
        <f t="shared" si="14"/>
        <v>0</v>
      </c>
      <c r="S231" s="448"/>
    </row>
    <row r="232" spans="1:20" ht="4.5" hidden="1" customHeight="1">
      <c r="A232" s="447"/>
      <c r="B232" s="447"/>
      <c r="C232" s="447"/>
      <c r="D232" s="447"/>
      <c r="E232" s="3"/>
      <c r="F232" s="4"/>
      <c r="G232" s="4"/>
      <c r="H232" s="4"/>
      <c r="I232" s="4"/>
      <c r="J232" s="4"/>
      <c r="K232" s="3"/>
      <c r="L232" s="4"/>
      <c r="M232" s="447"/>
      <c r="N232" s="447"/>
      <c r="O232" s="447"/>
      <c r="P232" s="447"/>
      <c r="Q232" s="447"/>
      <c r="R232" s="447"/>
      <c r="S232" s="448"/>
    </row>
    <row r="233" spans="1:20" s="454" customFormat="1" ht="16.5" hidden="1" customHeight="1" thickBot="1">
      <c r="A233" s="452"/>
      <c r="B233" s="3"/>
      <c r="C233" s="3"/>
      <c r="D233" s="43"/>
      <c r="E233" s="3"/>
      <c r="F233" s="3"/>
      <c r="G233" s="3"/>
      <c r="H233" s="458"/>
      <c r="I233" s="35"/>
      <c r="J233" s="629" t="s">
        <v>113</v>
      </c>
      <c r="K233" s="459"/>
      <c r="L233" s="614">
        <f>SUM(L222:L230)</f>
        <v>0</v>
      </c>
      <c r="M233" s="452"/>
      <c r="N233" s="615">
        <f>SUM(N222:N230)</f>
        <v>0</v>
      </c>
      <c r="O233" s="452"/>
      <c r="P233" s="615">
        <f>SUM(P222:P230)</f>
        <v>0</v>
      </c>
      <c r="Q233" s="452"/>
      <c r="R233" s="615">
        <f>SUM(R222:R231)</f>
        <v>0</v>
      </c>
      <c r="S233" s="453"/>
      <c r="T233" s="460"/>
    </row>
    <row r="234" spans="1:20" ht="8.25" hidden="1" customHeight="1">
      <c r="A234" s="447"/>
      <c r="B234" s="4"/>
      <c r="C234" s="4"/>
      <c r="D234" s="10"/>
      <c r="E234" s="3"/>
      <c r="F234" s="461"/>
      <c r="G234" s="4"/>
      <c r="H234" s="447"/>
      <c r="I234" s="447"/>
      <c r="J234" s="462"/>
      <c r="K234" s="3"/>
      <c r="L234" s="4"/>
      <c r="M234" s="447"/>
      <c r="N234" s="447"/>
      <c r="O234" s="447"/>
      <c r="P234" s="447"/>
      <c r="Q234" s="447"/>
      <c r="R234" s="447"/>
      <c r="S234" s="448"/>
    </row>
    <row r="235" spans="1:20" s="464" customFormat="1" ht="16.5" hidden="1" customHeight="1" thickBot="1">
      <c r="A235" s="449"/>
      <c r="B235" s="586"/>
      <c r="C235" s="587"/>
      <c r="D235" s="587"/>
      <c r="E235" s="587"/>
      <c r="F235" s="587"/>
      <c r="G235" s="588"/>
      <c r="H235" s="587"/>
      <c r="I235" s="587"/>
      <c r="J235" s="603" t="s">
        <v>44</v>
      </c>
      <c r="K235" s="587"/>
      <c r="L235" s="587"/>
      <c r="M235" s="588"/>
      <c r="N235" s="588"/>
      <c r="O235" s="588"/>
      <c r="P235" s="588"/>
      <c r="Q235" s="588"/>
      <c r="R235" s="589"/>
      <c r="S235" s="463"/>
    </row>
    <row r="236" spans="1:20" ht="13.5" hidden="1" customHeight="1">
      <c r="A236" s="447"/>
      <c r="B236" s="6"/>
      <c r="C236" s="6"/>
      <c r="D236" s="6"/>
      <c r="E236" s="6"/>
      <c r="F236" s="6"/>
      <c r="G236" s="6"/>
      <c r="H236" s="6"/>
      <c r="I236" s="6"/>
      <c r="J236" s="616" t="s">
        <v>82</v>
      </c>
      <c r="K236" s="465"/>
      <c r="L236" s="616" t="s">
        <v>83</v>
      </c>
      <c r="M236" s="447"/>
      <c r="N236" s="447"/>
      <c r="O236" s="447"/>
      <c r="P236" s="447"/>
      <c r="Q236" s="447"/>
      <c r="R236" s="447"/>
      <c r="S236" s="448"/>
    </row>
    <row r="237" spans="1:20" ht="16.5" hidden="1" customHeight="1" thickBot="1">
      <c r="A237" s="447"/>
      <c r="B237" s="90" t="s">
        <v>243</v>
      </c>
      <c r="C237" s="619"/>
      <c r="D237" s="619"/>
      <c r="E237" s="619"/>
      <c r="F237" s="619"/>
      <c r="G237" s="619"/>
      <c r="H237" s="619"/>
      <c r="I237" s="6"/>
      <c r="J237" s="601">
        <f>R216*3%</f>
        <v>0</v>
      </c>
      <c r="K237" s="6"/>
      <c r="L237" s="617">
        <f>J237/12</f>
        <v>0</v>
      </c>
      <c r="M237" s="447"/>
      <c r="N237" s="447"/>
      <c r="O237" s="447"/>
      <c r="P237" s="447"/>
      <c r="Q237" s="447"/>
      <c r="R237" s="447"/>
      <c r="S237" s="448"/>
    </row>
    <row r="238" spans="1:20" ht="3.75" hidden="1" customHeight="1">
      <c r="A238" s="447"/>
      <c r="B238" s="619"/>
      <c r="C238" s="619"/>
      <c r="D238" s="619"/>
      <c r="E238" s="619"/>
      <c r="F238" s="619"/>
      <c r="G238" s="619"/>
      <c r="H238" s="619"/>
      <c r="I238" s="6"/>
      <c r="J238" s="6"/>
      <c r="K238" s="6"/>
      <c r="L238" s="618"/>
      <c r="M238" s="447"/>
      <c r="N238" s="447"/>
      <c r="O238" s="447"/>
      <c r="P238" s="447"/>
      <c r="Q238" s="447"/>
      <c r="R238" s="447"/>
      <c r="S238" s="448"/>
    </row>
    <row r="239" spans="1:20" ht="16.5" hidden="1" customHeight="1" thickBot="1">
      <c r="A239" s="447"/>
      <c r="B239" s="91" t="s">
        <v>78</v>
      </c>
      <c r="C239" s="619"/>
      <c r="D239" s="619"/>
      <c r="E239" s="619"/>
      <c r="F239" s="619"/>
      <c r="G239" s="619"/>
      <c r="H239" s="619"/>
      <c r="I239" s="6"/>
      <c r="J239" s="601"/>
      <c r="K239" s="6"/>
      <c r="L239" s="617">
        <f>J239/12</f>
        <v>0</v>
      </c>
      <c r="M239" s="447"/>
      <c r="N239" s="447"/>
      <c r="O239" s="447"/>
      <c r="P239" s="516" t="s">
        <v>183</v>
      </c>
      <c r="Q239" s="447"/>
      <c r="R239" s="622">
        <f>L237+L239</f>
        <v>0</v>
      </c>
      <c r="S239" s="448"/>
    </row>
    <row r="240" spans="1:20" hidden="1">
      <c r="A240" s="447"/>
      <c r="B240" s="4"/>
      <c r="C240" s="4"/>
      <c r="D240" s="10"/>
      <c r="E240" s="3"/>
      <c r="F240" s="4"/>
      <c r="G240" s="4"/>
      <c r="H240" s="449"/>
      <c r="I240" s="449"/>
      <c r="J240" s="462"/>
      <c r="K240" s="3"/>
      <c r="L240" s="4"/>
      <c r="M240" s="447"/>
      <c r="N240" s="447"/>
      <c r="O240" s="447"/>
      <c r="P240" s="447"/>
      <c r="Q240" s="447"/>
      <c r="R240" s="447"/>
      <c r="S240" s="448"/>
    </row>
    <row r="241" spans="1:20" ht="21.75" hidden="1" customHeight="1" thickBot="1">
      <c r="A241" s="447"/>
      <c r="B241" s="447"/>
      <c r="C241" s="447"/>
      <c r="D241" s="447"/>
      <c r="E241" s="3"/>
      <c r="F241" s="4"/>
      <c r="G241" s="4"/>
      <c r="H241" s="449"/>
      <c r="I241" s="449"/>
      <c r="J241" s="447"/>
      <c r="K241" s="466"/>
      <c r="L241" s="447"/>
      <c r="M241" s="447"/>
      <c r="N241" s="447"/>
      <c r="O241" s="449"/>
      <c r="P241" s="620" t="s">
        <v>45</v>
      </c>
      <c r="Q241" s="590"/>
      <c r="R241" s="621">
        <f>IF(J216&gt;0,R233+R239,0)</f>
        <v>0</v>
      </c>
      <c r="S241" s="448"/>
    </row>
    <row r="242" spans="1:20">
      <c r="B242" s="467"/>
      <c r="C242" s="467"/>
      <c r="D242" s="467"/>
      <c r="E242" s="467"/>
      <c r="F242" s="467"/>
      <c r="G242" s="467"/>
      <c r="H242" s="467"/>
      <c r="I242" s="467"/>
      <c r="J242" s="467"/>
      <c r="K242" s="467"/>
      <c r="L242" s="467"/>
    </row>
    <row r="243" spans="1:20">
      <c r="B243" s="467"/>
      <c r="C243" s="467"/>
      <c r="D243" s="467"/>
      <c r="E243" s="467"/>
      <c r="F243" s="467"/>
      <c r="G243" s="467"/>
      <c r="H243" s="467"/>
      <c r="I243" s="467"/>
      <c r="J243" s="467"/>
      <c r="K243" s="467"/>
      <c r="L243" s="467"/>
    </row>
    <row r="244" spans="1:20" ht="18" customHeight="1">
      <c r="C244" s="467"/>
      <c r="D244" s="467"/>
      <c r="E244" s="467"/>
      <c r="F244" s="467"/>
      <c r="G244" s="467"/>
      <c r="H244" s="467"/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467"/>
      <c r="T244" s="467"/>
    </row>
    <row r="245" spans="1:20">
      <c r="B245" s="467"/>
      <c r="C245" s="467"/>
      <c r="D245" s="467"/>
      <c r="E245" s="467"/>
      <c r="F245" s="467"/>
      <c r="G245" s="467"/>
      <c r="H245" s="467"/>
      <c r="I245" s="467"/>
      <c r="J245" s="467"/>
      <c r="K245" s="467"/>
      <c r="L245" s="467"/>
    </row>
    <row r="246" spans="1:20">
      <c r="B246" s="467"/>
      <c r="C246" s="467"/>
      <c r="D246" s="467"/>
      <c r="E246" s="467"/>
      <c r="F246" s="467"/>
      <c r="G246" s="467"/>
      <c r="H246" s="467"/>
      <c r="I246" s="467"/>
      <c r="J246" s="467"/>
      <c r="K246" s="467"/>
      <c r="L246" s="467"/>
    </row>
    <row r="247" spans="1:20">
      <c r="B247" s="467"/>
      <c r="C247" s="467"/>
      <c r="D247" s="467"/>
      <c r="E247" s="467"/>
      <c r="F247" s="467"/>
      <c r="G247" s="467"/>
      <c r="H247" s="467"/>
      <c r="I247" s="467"/>
      <c r="J247" s="467"/>
      <c r="K247" s="467"/>
      <c r="L247" s="467"/>
    </row>
    <row r="248" spans="1:20">
      <c r="B248" s="467"/>
      <c r="C248" s="467"/>
      <c r="D248" s="467"/>
      <c r="E248" s="467"/>
      <c r="F248" s="467"/>
      <c r="G248" s="467"/>
      <c r="H248" s="467"/>
      <c r="I248" s="467"/>
      <c r="J248" s="467"/>
      <c r="K248" s="467"/>
      <c r="L248" s="467"/>
    </row>
    <row r="249" spans="1:20">
      <c r="B249" s="467"/>
      <c r="C249" s="467"/>
      <c r="D249" s="467"/>
      <c r="E249" s="467"/>
      <c r="F249" s="467"/>
      <c r="G249" s="467"/>
      <c r="H249" s="467"/>
      <c r="I249" s="467"/>
      <c r="J249" s="467"/>
      <c r="K249" s="467"/>
      <c r="L249" s="467"/>
    </row>
    <row r="250" spans="1:20">
      <c r="B250" s="467"/>
      <c r="C250" s="467"/>
      <c r="D250" s="467"/>
      <c r="E250" s="467"/>
      <c r="F250" s="467"/>
      <c r="G250" s="467"/>
      <c r="H250" s="467"/>
      <c r="I250" s="467"/>
      <c r="J250" s="467"/>
      <c r="K250" s="467"/>
      <c r="L250" s="467"/>
    </row>
    <row r="251" spans="1:20">
      <c r="B251" s="467"/>
      <c r="C251" s="467"/>
      <c r="D251" s="467"/>
      <c r="E251" s="467"/>
      <c r="F251" s="467"/>
      <c r="G251" s="467"/>
      <c r="H251" s="467"/>
      <c r="I251" s="467"/>
      <c r="J251" s="467"/>
      <c r="K251" s="467"/>
      <c r="L251" s="467"/>
    </row>
    <row r="252" spans="1:20">
      <c r="B252" s="467"/>
      <c r="C252" s="467"/>
      <c r="D252" s="467"/>
      <c r="E252" s="467"/>
      <c r="F252" s="467"/>
      <c r="G252" s="467"/>
      <c r="H252" s="467"/>
      <c r="I252" s="467"/>
      <c r="J252" s="467"/>
      <c r="K252" s="467"/>
      <c r="L252" s="467"/>
    </row>
    <row r="253" spans="1:20">
      <c r="B253" s="467"/>
      <c r="C253" s="467"/>
      <c r="D253" s="467"/>
      <c r="E253" s="467"/>
      <c r="F253" s="467"/>
      <c r="G253" s="467"/>
      <c r="H253" s="467"/>
      <c r="I253" s="467"/>
      <c r="J253" s="467"/>
      <c r="K253" s="467"/>
      <c r="L253" s="467"/>
    </row>
    <row r="254" spans="1:20">
      <c r="B254" s="467"/>
      <c r="C254" s="467"/>
      <c r="D254" s="467"/>
      <c r="E254" s="467"/>
      <c r="F254" s="467"/>
      <c r="G254" s="467"/>
      <c r="H254" s="467"/>
      <c r="I254" s="467"/>
      <c r="J254" s="467"/>
      <c r="K254" s="467"/>
      <c r="L254" s="467"/>
    </row>
    <row r="255" spans="1:20">
      <c r="B255" s="467"/>
      <c r="C255" s="467"/>
      <c r="D255" s="467"/>
      <c r="E255" s="467"/>
      <c r="F255" s="467"/>
      <c r="G255" s="467"/>
      <c r="H255" s="467"/>
      <c r="I255" s="467"/>
      <c r="J255" s="467"/>
      <c r="K255" s="467"/>
      <c r="L255" s="467"/>
    </row>
    <row r="256" spans="1:20">
      <c r="B256" s="467"/>
      <c r="C256" s="467"/>
      <c r="D256" s="467"/>
      <c r="E256" s="467"/>
      <c r="F256" s="467"/>
      <c r="G256" s="467"/>
      <c r="H256" s="467"/>
      <c r="I256" s="467"/>
      <c r="J256" s="467"/>
      <c r="K256" s="467"/>
      <c r="L256" s="467"/>
    </row>
    <row r="257" spans="2:12">
      <c r="B257" s="467"/>
      <c r="C257" s="467"/>
      <c r="D257" s="467"/>
      <c r="E257" s="467"/>
      <c r="F257" s="467"/>
      <c r="G257" s="467"/>
      <c r="H257" s="467"/>
      <c r="I257" s="467"/>
      <c r="J257" s="467"/>
      <c r="K257" s="467"/>
      <c r="L257" s="467"/>
    </row>
    <row r="258" spans="2:12">
      <c r="B258" s="467"/>
      <c r="C258" s="467"/>
      <c r="D258" s="467"/>
      <c r="E258" s="467"/>
      <c r="F258" s="467"/>
      <c r="G258" s="467"/>
      <c r="H258" s="467"/>
      <c r="I258" s="467"/>
      <c r="J258" s="467"/>
      <c r="K258" s="467"/>
      <c r="L258" s="467"/>
    </row>
    <row r="259" spans="2:12">
      <c r="B259" s="467"/>
      <c r="C259" s="467"/>
      <c r="D259" s="467"/>
      <c r="E259" s="467"/>
      <c r="F259" s="467"/>
      <c r="G259" s="467"/>
      <c r="H259" s="467"/>
      <c r="I259" s="467"/>
      <c r="J259" s="467"/>
      <c r="K259" s="467"/>
      <c r="L259" s="467"/>
    </row>
    <row r="260" spans="2:12">
      <c r="B260" s="467"/>
      <c r="C260" s="467"/>
      <c r="D260" s="467"/>
      <c r="E260" s="467"/>
      <c r="F260" s="467"/>
      <c r="G260" s="467"/>
      <c r="H260" s="467"/>
      <c r="I260" s="467"/>
      <c r="J260" s="467"/>
      <c r="K260" s="467"/>
      <c r="L260" s="467"/>
    </row>
    <row r="261" spans="2:12">
      <c r="B261" s="467"/>
      <c r="C261" s="467"/>
      <c r="D261" s="467"/>
      <c r="E261" s="467"/>
      <c r="F261" s="467"/>
      <c r="G261" s="467"/>
      <c r="H261" s="467"/>
      <c r="I261" s="467"/>
      <c r="J261" s="467"/>
      <c r="K261" s="467"/>
      <c r="L261" s="467"/>
    </row>
    <row r="262" spans="2:12">
      <c r="B262" s="467"/>
      <c r="C262" s="467"/>
      <c r="D262" s="467"/>
      <c r="E262" s="467"/>
      <c r="F262" s="467"/>
      <c r="G262" s="467"/>
      <c r="H262" s="467"/>
      <c r="I262" s="467"/>
      <c r="J262" s="467"/>
      <c r="K262" s="467"/>
      <c r="L262" s="467"/>
    </row>
    <row r="263" spans="2:12">
      <c r="B263" s="467"/>
      <c r="C263" s="467"/>
      <c r="D263" s="467"/>
      <c r="E263" s="467"/>
      <c r="F263" s="467"/>
      <c r="G263" s="467"/>
      <c r="H263" s="467"/>
      <c r="I263" s="467"/>
      <c r="J263" s="467"/>
      <c r="K263" s="467"/>
      <c r="L263" s="467"/>
    </row>
    <row r="264" spans="2:12">
      <c r="B264" s="467"/>
      <c r="C264" s="467"/>
      <c r="D264" s="467"/>
      <c r="E264" s="467"/>
      <c r="F264" s="467"/>
      <c r="G264" s="467"/>
      <c r="H264" s="467"/>
      <c r="I264" s="467"/>
      <c r="J264" s="467"/>
      <c r="K264" s="467"/>
      <c r="L264" s="467"/>
    </row>
    <row r="265" spans="2:12">
      <c r="B265" s="467"/>
      <c r="C265" s="467"/>
      <c r="D265" s="467"/>
      <c r="E265" s="467"/>
      <c r="F265" s="467"/>
      <c r="G265" s="467"/>
      <c r="H265" s="467"/>
      <c r="I265" s="467"/>
      <c r="J265" s="467"/>
      <c r="K265" s="467"/>
      <c r="L265" s="467"/>
    </row>
    <row r="266" spans="2:12">
      <c r="B266" s="467"/>
      <c r="C266" s="467"/>
      <c r="D266" s="467"/>
      <c r="E266" s="467"/>
      <c r="F266" s="467"/>
      <c r="G266" s="467"/>
      <c r="H266" s="467"/>
      <c r="I266" s="467"/>
      <c r="J266" s="467"/>
      <c r="K266" s="467"/>
      <c r="L266" s="467"/>
    </row>
    <row r="267" spans="2:12">
      <c r="B267" s="467"/>
      <c r="C267" s="467"/>
      <c r="D267" s="467"/>
      <c r="E267" s="467"/>
      <c r="F267" s="467"/>
      <c r="G267" s="467"/>
      <c r="H267" s="467"/>
      <c r="I267" s="467"/>
      <c r="J267" s="467"/>
      <c r="K267" s="467"/>
      <c r="L267" s="467"/>
    </row>
    <row r="268" spans="2:12">
      <c r="B268" s="467"/>
      <c r="C268" s="467"/>
      <c r="D268" s="467"/>
      <c r="E268" s="467"/>
      <c r="F268" s="467"/>
      <c r="G268" s="467"/>
      <c r="H268" s="467"/>
      <c r="I268" s="467"/>
      <c r="J268" s="467"/>
      <c r="K268" s="467"/>
      <c r="L268" s="467"/>
    </row>
    <row r="269" spans="2:12">
      <c r="B269" s="467"/>
      <c r="C269" s="467"/>
      <c r="D269" s="467"/>
      <c r="E269" s="467"/>
      <c r="F269" s="467"/>
      <c r="G269" s="467"/>
      <c r="H269" s="467"/>
      <c r="I269" s="467"/>
      <c r="J269" s="467"/>
      <c r="K269" s="467"/>
      <c r="L269" s="467"/>
    </row>
    <row r="270" spans="2:12">
      <c r="B270" s="467"/>
      <c r="C270" s="467"/>
      <c r="D270" s="467"/>
      <c r="E270" s="467"/>
      <c r="F270" s="467"/>
      <c r="G270" s="467"/>
      <c r="H270" s="467"/>
      <c r="I270" s="467"/>
      <c r="J270" s="467"/>
      <c r="K270" s="467"/>
      <c r="L270" s="467"/>
    </row>
    <row r="271" spans="2:12">
      <c r="B271" s="467"/>
      <c r="C271" s="467"/>
      <c r="D271" s="467"/>
      <c r="E271" s="467"/>
      <c r="F271" s="467"/>
      <c r="G271" s="467"/>
      <c r="H271" s="467"/>
      <c r="I271" s="467"/>
      <c r="J271" s="467"/>
      <c r="K271" s="467"/>
      <c r="L271" s="467"/>
    </row>
    <row r="272" spans="2:12">
      <c r="B272" s="467"/>
      <c r="C272" s="467"/>
      <c r="D272" s="467"/>
      <c r="E272" s="467"/>
      <c r="F272" s="467"/>
      <c r="G272" s="467"/>
      <c r="H272" s="467"/>
      <c r="I272" s="467"/>
      <c r="J272" s="467"/>
      <c r="K272" s="467"/>
      <c r="L272" s="467"/>
    </row>
    <row r="273" spans="2:12">
      <c r="B273" s="467"/>
      <c r="C273" s="467"/>
      <c r="D273" s="467"/>
      <c r="E273" s="467"/>
      <c r="F273" s="467"/>
      <c r="G273" s="467"/>
      <c r="H273" s="467"/>
      <c r="I273" s="467"/>
      <c r="J273" s="467"/>
      <c r="K273" s="467"/>
      <c r="L273" s="467"/>
    </row>
    <row r="274" spans="2:12">
      <c r="B274" s="467"/>
      <c r="C274" s="467"/>
      <c r="D274" s="467"/>
      <c r="E274" s="467"/>
      <c r="F274" s="467"/>
      <c r="G274" s="467"/>
      <c r="H274" s="467"/>
      <c r="I274" s="467"/>
      <c r="J274" s="467"/>
      <c r="K274" s="467"/>
      <c r="L274" s="467"/>
    </row>
    <row r="275" spans="2:12">
      <c r="B275" s="467"/>
      <c r="C275" s="467"/>
      <c r="D275" s="467"/>
      <c r="E275" s="467"/>
      <c r="F275" s="467"/>
      <c r="G275" s="467"/>
      <c r="H275" s="467"/>
      <c r="I275" s="467"/>
      <c r="J275" s="467"/>
      <c r="K275" s="467"/>
      <c r="L275" s="467"/>
    </row>
    <row r="276" spans="2:12">
      <c r="B276" s="467"/>
      <c r="C276" s="467"/>
      <c r="D276" s="467"/>
      <c r="E276" s="467"/>
      <c r="F276" s="467"/>
      <c r="G276" s="467"/>
      <c r="H276" s="467"/>
      <c r="I276" s="467"/>
      <c r="J276" s="467"/>
      <c r="K276" s="467"/>
      <c r="L276" s="467"/>
    </row>
    <row r="277" spans="2:12">
      <c r="B277" s="467"/>
      <c r="C277" s="467"/>
      <c r="D277" s="467"/>
      <c r="E277" s="467"/>
      <c r="F277" s="467"/>
      <c r="G277" s="467"/>
      <c r="H277" s="467"/>
      <c r="I277" s="467"/>
      <c r="J277" s="467"/>
      <c r="K277" s="467"/>
      <c r="L277" s="467"/>
    </row>
    <row r="278" spans="2:12">
      <c r="B278" s="467"/>
      <c r="C278" s="467"/>
      <c r="D278" s="467"/>
      <c r="E278" s="467"/>
      <c r="F278" s="467"/>
      <c r="G278" s="467"/>
      <c r="H278" s="467"/>
      <c r="I278" s="467"/>
      <c r="J278" s="467"/>
      <c r="K278" s="467"/>
      <c r="L278" s="467"/>
    </row>
    <row r="279" spans="2:12">
      <c r="B279" s="467"/>
      <c r="C279" s="467"/>
      <c r="D279" s="467"/>
      <c r="E279" s="467"/>
      <c r="F279" s="467"/>
      <c r="G279" s="467"/>
      <c r="H279" s="467"/>
      <c r="I279" s="467"/>
      <c r="J279" s="467"/>
      <c r="K279" s="467"/>
      <c r="L279" s="467"/>
    </row>
    <row r="280" spans="2:12">
      <c r="B280" s="467"/>
      <c r="C280" s="467"/>
      <c r="D280" s="467"/>
      <c r="E280" s="467"/>
      <c r="F280" s="467"/>
      <c r="G280" s="467"/>
      <c r="H280" s="467"/>
      <c r="I280" s="467"/>
      <c r="J280" s="467"/>
      <c r="K280" s="467"/>
      <c r="L280" s="467"/>
    </row>
    <row r="281" spans="2:12">
      <c r="B281" s="467"/>
      <c r="C281" s="467"/>
      <c r="D281" s="467"/>
      <c r="E281" s="467"/>
      <c r="F281" s="467"/>
      <c r="G281" s="467"/>
      <c r="H281" s="467"/>
      <c r="I281" s="467"/>
      <c r="J281" s="467"/>
      <c r="K281" s="467"/>
      <c r="L281" s="467"/>
    </row>
    <row r="282" spans="2:12">
      <c r="B282" s="467"/>
      <c r="C282" s="467"/>
      <c r="D282" s="467"/>
      <c r="E282" s="467"/>
      <c r="F282" s="467"/>
      <c r="G282" s="467"/>
      <c r="H282" s="467"/>
      <c r="I282" s="467"/>
      <c r="J282" s="467"/>
      <c r="K282" s="467"/>
      <c r="L282" s="467"/>
    </row>
    <row r="283" spans="2:12">
      <c r="B283" s="467"/>
      <c r="C283" s="467"/>
      <c r="D283" s="467"/>
      <c r="E283" s="467"/>
      <c r="F283" s="467"/>
      <c r="G283" s="467"/>
      <c r="H283" s="467"/>
      <c r="I283" s="467"/>
      <c r="J283" s="467"/>
      <c r="K283" s="467"/>
      <c r="L283" s="467"/>
    </row>
    <row r="284" spans="2:12">
      <c r="B284" s="467"/>
      <c r="C284" s="467"/>
      <c r="D284" s="467"/>
      <c r="E284" s="467"/>
      <c r="F284" s="467"/>
      <c r="G284" s="467"/>
      <c r="H284" s="467"/>
      <c r="I284" s="467"/>
      <c r="J284" s="467"/>
      <c r="K284" s="467"/>
      <c r="L284" s="467"/>
    </row>
    <row r="285" spans="2:12">
      <c r="B285" s="467"/>
      <c r="C285" s="467"/>
      <c r="D285" s="467"/>
      <c r="E285" s="467"/>
      <c r="F285" s="467"/>
      <c r="G285" s="467"/>
      <c r="H285" s="467"/>
      <c r="I285" s="467"/>
      <c r="J285" s="467"/>
      <c r="K285" s="467"/>
      <c r="L285" s="467"/>
    </row>
    <row r="286" spans="2:12">
      <c r="B286" s="467"/>
      <c r="C286" s="467"/>
      <c r="D286" s="467"/>
      <c r="E286" s="467"/>
      <c r="F286" s="467"/>
      <c r="G286" s="467"/>
      <c r="H286" s="467"/>
      <c r="I286" s="467"/>
      <c r="J286" s="467"/>
      <c r="K286" s="467"/>
      <c r="L286" s="467"/>
    </row>
    <row r="287" spans="2:12">
      <c r="B287" s="467"/>
      <c r="C287" s="467"/>
      <c r="D287" s="467"/>
      <c r="E287" s="467"/>
      <c r="F287" s="467"/>
      <c r="G287" s="467"/>
      <c r="H287" s="467"/>
      <c r="I287" s="467"/>
      <c r="J287" s="467"/>
      <c r="K287" s="467"/>
      <c r="L287" s="467"/>
    </row>
    <row r="288" spans="2:12">
      <c r="B288" s="467"/>
      <c r="C288" s="467"/>
      <c r="D288" s="467"/>
      <c r="E288" s="467"/>
      <c r="F288" s="467"/>
      <c r="G288" s="467"/>
      <c r="H288" s="467"/>
      <c r="I288" s="467"/>
      <c r="J288" s="467"/>
      <c r="K288" s="467"/>
      <c r="L288" s="467"/>
    </row>
    <row r="289" spans="2:12">
      <c r="B289" s="467"/>
      <c r="C289" s="467"/>
      <c r="D289" s="467"/>
      <c r="E289" s="467"/>
      <c r="F289" s="467"/>
      <c r="G289" s="467"/>
      <c r="H289" s="467"/>
      <c r="I289" s="467"/>
      <c r="J289" s="467"/>
      <c r="K289" s="467"/>
      <c r="L289" s="467"/>
    </row>
    <row r="290" spans="2:12">
      <c r="B290" s="467"/>
      <c r="C290" s="467"/>
      <c r="D290" s="467"/>
      <c r="E290" s="467"/>
      <c r="F290" s="467"/>
      <c r="G290" s="467"/>
      <c r="H290" s="467"/>
      <c r="I290" s="467"/>
      <c r="J290" s="467"/>
      <c r="K290" s="467"/>
      <c r="L290" s="467"/>
    </row>
    <row r="291" spans="2:12">
      <c r="B291" s="467"/>
      <c r="C291" s="467"/>
      <c r="D291" s="467"/>
      <c r="E291" s="467"/>
      <c r="F291" s="467"/>
      <c r="G291" s="467"/>
      <c r="H291" s="467"/>
      <c r="I291" s="467"/>
      <c r="J291" s="467"/>
      <c r="K291" s="467"/>
      <c r="L291" s="467"/>
    </row>
    <row r="292" spans="2:12">
      <c r="B292" s="467"/>
      <c r="C292" s="467"/>
      <c r="D292" s="467"/>
      <c r="E292" s="467"/>
      <c r="F292" s="467"/>
      <c r="G292" s="467"/>
      <c r="H292" s="467"/>
      <c r="I292" s="467"/>
      <c r="J292" s="467"/>
      <c r="K292" s="467"/>
      <c r="L292" s="467"/>
    </row>
    <row r="293" spans="2:12">
      <c r="B293" s="467"/>
      <c r="C293" s="467"/>
      <c r="D293" s="467"/>
      <c r="E293" s="467"/>
      <c r="F293" s="467"/>
      <c r="G293" s="467"/>
      <c r="H293" s="467"/>
      <c r="I293" s="467"/>
      <c r="J293" s="467"/>
      <c r="K293" s="467"/>
      <c r="L293" s="467"/>
    </row>
    <row r="294" spans="2:12">
      <c r="B294" s="467"/>
      <c r="C294" s="467"/>
      <c r="D294" s="467"/>
      <c r="E294" s="467"/>
      <c r="F294" s="467"/>
      <c r="G294" s="467"/>
      <c r="H294" s="467"/>
      <c r="I294" s="467"/>
      <c r="J294" s="467"/>
      <c r="K294" s="467"/>
      <c r="L294" s="467"/>
    </row>
    <row r="295" spans="2:12">
      <c r="B295" s="467"/>
      <c r="C295" s="467"/>
      <c r="D295" s="467"/>
      <c r="E295" s="467"/>
      <c r="F295" s="467"/>
      <c r="G295" s="467"/>
      <c r="H295" s="467"/>
      <c r="I295" s="467"/>
      <c r="J295" s="467"/>
      <c r="K295" s="467"/>
      <c r="L295" s="467"/>
    </row>
    <row r="296" spans="2:12">
      <c r="B296" s="467"/>
      <c r="C296" s="467"/>
      <c r="D296" s="467"/>
      <c r="E296" s="467"/>
      <c r="F296" s="467"/>
      <c r="G296" s="467"/>
      <c r="H296" s="467"/>
      <c r="I296" s="467"/>
      <c r="J296" s="467"/>
      <c r="K296" s="467"/>
      <c r="L296" s="467"/>
    </row>
    <row r="297" spans="2:12">
      <c r="B297" s="467"/>
      <c r="C297" s="467"/>
      <c r="D297" s="467"/>
      <c r="E297" s="467"/>
      <c r="F297" s="467"/>
      <c r="G297" s="467"/>
      <c r="H297" s="467"/>
      <c r="I297" s="467"/>
      <c r="J297" s="467"/>
      <c r="K297" s="467"/>
      <c r="L297" s="467"/>
    </row>
    <row r="298" spans="2:12">
      <c r="B298" s="467"/>
      <c r="C298" s="467"/>
      <c r="D298" s="467"/>
      <c r="E298" s="467"/>
      <c r="F298" s="467"/>
      <c r="G298" s="467"/>
      <c r="H298" s="467"/>
      <c r="I298" s="467"/>
      <c r="J298" s="467"/>
      <c r="K298" s="467"/>
      <c r="L298" s="467"/>
    </row>
    <row r="299" spans="2:12">
      <c r="B299" s="467"/>
      <c r="C299" s="467"/>
      <c r="D299" s="467"/>
      <c r="E299" s="467"/>
      <c r="F299" s="467"/>
      <c r="G299" s="467"/>
      <c r="H299" s="467"/>
      <c r="I299" s="467"/>
      <c r="J299" s="467"/>
      <c r="K299" s="467"/>
      <c r="L299" s="467"/>
    </row>
    <row r="300" spans="2:12">
      <c r="B300" s="467"/>
      <c r="C300" s="467"/>
      <c r="D300" s="467"/>
      <c r="E300" s="467"/>
      <c r="F300" s="467"/>
      <c r="G300" s="467"/>
      <c r="H300" s="467"/>
      <c r="I300" s="467"/>
      <c r="J300" s="467"/>
      <c r="K300" s="467"/>
      <c r="L300" s="467"/>
    </row>
    <row r="301" spans="2:12">
      <c r="B301" s="467"/>
      <c r="C301" s="467"/>
      <c r="D301" s="467"/>
      <c r="E301" s="467"/>
      <c r="F301" s="467"/>
      <c r="G301" s="467"/>
      <c r="H301" s="467"/>
      <c r="I301" s="467"/>
      <c r="J301" s="467"/>
      <c r="K301" s="467"/>
      <c r="L301" s="467"/>
    </row>
    <row r="302" spans="2:12">
      <c r="B302" s="467"/>
      <c r="C302" s="467"/>
      <c r="D302" s="467"/>
      <c r="E302" s="467"/>
      <c r="F302" s="467"/>
      <c r="G302" s="467"/>
      <c r="H302" s="467"/>
      <c r="I302" s="467"/>
      <c r="J302" s="467"/>
      <c r="K302" s="467"/>
      <c r="L302" s="467"/>
    </row>
    <row r="303" spans="2:12">
      <c r="B303" s="467"/>
      <c r="C303" s="467"/>
      <c r="D303" s="467"/>
      <c r="E303" s="467"/>
      <c r="F303" s="467"/>
      <c r="G303" s="467"/>
      <c r="H303" s="467"/>
      <c r="I303" s="467"/>
      <c r="J303" s="467"/>
      <c r="K303" s="467"/>
      <c r="L303" s="467"/>
    </row>
    <row r="304" spans="2:12">
      <c r="B304" s="467"/>
      <c r="C304" s="467"/>
      <c r="D304" s="467"/>
      <c r="E304" s="467"/>
      <c r="F304" s="467"/>
      <c r="G304" s="467"/>
      <c r="H304" s="467"/>
      <c r="I304" s="467"/>
      <c r="J304" s="467"/>
      <c r="K304" s="467"/>
      <c r="L304" s="467"/>
    </row>
    <row r="305" spans="2:12">
      <c r="B305" s="467"/>
      <c r="C305" s="467"/>
      <c r="D305" s="467"/>
      <c r="E305" s="467"/>
      <c r="F305" s="467"/>
      <c r="G305" s="467"/>
      <c r="H305" s="467"/>
      <c r="I305" s="467"/>
      <c r="J305" s="467"/>
      <c r="K305" s="467"/>
      <c r="L305" s="467"/>
    </row>
    <row r="306" spans="2:12">
      <c r="B306" s="467"/>
      <c r="C306" s="467"/>
      <c r="D306" s="467"/>
      <c r="E306" s="467"/>
      <c r="F306" s="467"/>
      <c r="G306" s="467"/>
      <c r="H306" s="467"/>
      <c r="I306" s="467"/>
      <c r="J306" s="467"/>
      <c r="K306" s="467"/>
      <c r="L306" s="467"/>
    </row>
    <row r="307" spans="2:12">
      <c r="B307" s="467"/>
      <c r="C307" s="467"/>
      <c r="D307" s="467"/>
      <c r="E307" s="467"/>
      <c r="F307" s="467"/>
      <c r="G307" s="467"/>
      <c r="H307" s="467"/>
      <c r="I307" s="467"/>
      <c r="J307" s="467"/>
      <c r="K307" s="467"/>
      <c r="L307" s="467"/>
    </row>
    <row r="308" spans="2:12">
      <c r="B308" s="467"/>
      <c r="C308" s="467"/>
      <c r="D308" s="467"/>
      <c r="E308" s="467"/>
      <c r="F308" s="467"/>
      <c r="G308" s="467"/>
      <c r="H308" s="467"/>
      <c r="I308" s="467"/>
      <c r="J308" s="467"/>
      <c r="K308" s="467"/>
      <c r="L308" s="467"/>
    </row>
    <row r="309" spans="2:12">
      <c r="B309" s="467"/>
      <c r="C309" s="467"/>
      <c r="D309" s="467"/>
      <c r="E309" s="467"/>
      <c r="F309" s="467"/>
      <c r="G309" s="467"/>
      <c r="H309" s="467"/>
      <c r="I309" s="467"/>
      <c r="J309" s="467"/>
      <c r="K309" s="467"/>
      <c r="L309" s="467"/>
    </row>
    <row r="310" spans="2:12">
      <c r="B310" s="467"/>
      <c r="C310" s="467"/>
      <c r="D310" s="467"/>
      <c r="E310" s="467"/>
      <c r="F310" s="467"/>
      <c r="G310" s="467"/>
      <c r="H310" s="467"/>
      <c r="I310" s="467"/>
      <c r="J310" s="467"/>
      <c r="K310" s="467"/>
      <c r="L310" s="467"/>
    </row>
    <row r="311" spans="2:12">
      <c r="B311" s="467"/>
      <c r="C311" s="467"/>
      <c r="D311" s="467"/>
      <c r="E311" s="467"/>
      <c r="F311" s="467"/>
      <c r="G311" s="467"/>
      <c r="H311" s="467"/>
      <c r="I311" s="467"/>
      <c r="J311" s="467"/>
      <c r="K311" s="467"/>
      <c r="L311" s="467"/>
    </row>
    <row r="312" spans="2:12">
      <c r="B312" s="467"/>
      <c r="C312" s="467"/>
      <c r="D312" s="467"/>
      <c r="E312" s="467"/>
      <c r="F312" s="467"/>
      <c r="G312" s="467"/>
      <c r="H312" s="467"/>
      <c r="I312" s="467"/>
      <c r="J312" s="467"/>
      <c r="K312" s="467"/>
      <c r="L312" s="467"/>
    </row>
    <row r="313" spans="2:12">
      <c r="B313" s="467"/>
      <c r="C313" s="467"/>
      <c r="D313" s="467"/>
      <c r="E313" s="467"/>
      <c r="F313" s="467"/>
      <c r="G313" s="467"/>
      <c r="H313" s="467"/>
      <c r="I313" s="467"/>
      <c r="J313" s="467"/>
      <c r="K313" s="467"/>
      <c r="L313" s="467"/>
    </row>
    <row r="314" spans="2:12">
      <c r="B314" s="467"/>
      <c r="C314" s="467"/>
      <c r="D314" s="467"/>
      <c r="E314" s="467"/>
      <c r="F314" s="467"/>
      <c r="G314" s="467"/>
      <c r="H314" s="467"/>
      <c r="I314" s="467"/>
      <c r="J314" s="467"/>
      <c r="K314" s="467"/>
      <c r="L314" s="467"/>
    </row>
    <row r="315" spans="2:12">
      <c r="B315" s="467"/>
      <c r="C315" s="467"/>
      <c r="D315" s="467"/>
      <c r="E315" s="467"/>
      <c r="F315" s="467"/>
      <c r="G315" s="467"/>
      <c r="H315" s="467"/>
      <c r="I315" s="467"/>
      <c r="J315" s="467"/>
      <c r="K315" s="467"/>
      <c r="L315" s="467"/>
    </row>
    <row r="316" spans="2:12">
      <c r="B316" s="467"/>
      <c r="C316" s="467"/>
      <c r="D316" s="467"/>
      <c r="E316" s="467"/>
      <c r="F316" s="467"/>
      <c r="G316" s="467"/>
      <c r="H316" s="467"/>
      <c r="I316" s="467"/>
      <c r="J316" s="467"/>
      <c r="K316" s="467"/>
      <c r="L316" s="467"/>
    </row>
    <row r="317" spans="2:12">
      <c r="B317" s="467"/>
      <c r="C317" s="467"/>
      <c r="D317" s="467"/>
      <c r="E317" s="467"/>
      <c r="F317" s="467"/>
      <c r="G317" s="467"/>
      <c r="H317" s="467"/>
      <c r="I317" s="467"/>
      <c r="J317" s="467"/>
      <c r="K317" s="467"/>
      <c r="L317" s="467"/>
    </row>
    <row r="318" spans="2:12">
      <c r="B318" s="467"/>
      <c r="C318" s="467"/>
      <c r="D318" s="467"/>
      <c r="E318" s="467"/>
      <c r="F318" s="467"/>
      <c r="G318" s="467"/>
      <c r="H318" s="467"/>
      <c r="I318" s="467"/>
      <c r="J318" s="467"/>
      <c r="K318" s="467"/>
      <c r="L318" s="467"/>
    </row>
    <row r="319" spans="2:12">
      <c r="B319" s="467"/>
      <c r="C319" s="467"/>
      <c r="D319" s="467"/>
      <c r="E319" s="467"/>
      <c r="F319" s="467"/>
      <c r="G319" s="467"/>
      <c r="H319" s="467"/>
      <c r="I319" s="467"/>
      <c r="J319" s="467"/>
      <c r="K319" s="467"/>
      <c r="L319" s="467"/>
    </row>
    <row r="320" spans="2:12">
      <c r="B320" s="467"/>
      <c r="C320" s="467"/>
      <c r="D320" s="467"/>
      <c r="E320" s="467"/>
      <c r="F320" s="467"/>
      <c r="G320" s="467"/>
      <c r="H320" s="467"/>
      <c r="I320" s="467"/>
      <c r="J320" s="467"/>
      <c r="K320" s="467"/>
      <c r="L320" s="467"/>
    </row>
    <row r="321" spans="2:12">
      <c r="B321" s="467"/>
      <c r="C321" s="467"/>
      <c r="D321" s="467"/>
      <c r="E321" s="467"/>
      <c r="F321" s="467"/>
      <c r="G321" s="467"/>
      <c r="H321" s="467"/>
      <c r="I321" s="467"/>
      <c r="J321" s="467"/>
      <c r="K321" s="467"/>
      <c r="L321" s="467"/>
    </row>
    <row r="322" spans="2:12">
      <c r="B322" s="467"/>
      <c r="C322" s="467"/>
      <c r="D322" s="467"/>
      <c r="E322" s="467"/>
      <c r="F322" s="467"/>
      <c r="G322" s="467"/>
      <c r="H322" s="467"/>
      <c r="I322" s="467"/>
      <c r="J322" s="467"/>
      <c r="K322" s="467"/>
      <c r="L322" s="467"/>
    </row>
    <row r="323" spans="2:12">
      <c r="B323" s="467"/>
      <c r="C323" s="467"/>
      <c r="D323" s="467"/>
      <c r="E323" s="467"/>
      <c r="F323" s="467"/>
      <c r="G323" s="467"/>
      <c r="H323" s="467"/>
      <c r="I323" s="467"/>
      <c r="J323" s="467"/>
      <c r="K323" s="467"/>
      <c r="L323" s="467"/>
    </row>
    <row r="324" spans="2:12">
      <c r="B324" s="467"/>
      <c r="C324" s="467"/>
      <c r="D324" s="467"/>
      <c r="E324" s="467"/>
      <c r="F324" s="467"/>
      <c r="G324" s="467"/>
      <c r="H324" s="467"/>
      <c r="I324" s="467"/>
      <c r="J324" s="467"/>
      <c r="K324" s="467"/>
      <c r="L324" s="467"/>
    </row>
    <row r="325" spans="2:12">
      <c r="B325" s="467"/>
      <c r="C325" s="467"/>
      <c r="D325" s="467"/>
      <c r="E325" s="467"/>
      <c r="F325" s="467"/>
      <c r="G325" s="467"/>
      <c r="H325" s="467"/>
      <c r="I325" s="467"/>
      <c r="J325" s="467"/>
      <c r="K325" s="467"/>
      <c r="L325" s="467"/>
    </row>
    <row r="326" spans="2:12">
      <c r="B326" s="467"/>
      <c r="C326" s="467"/>
      <c r="D326" s="467"/>
      <c r="E326" s="467"/>
      <c r="F326" s="467"/>
      <c r="G326" s="467"/>
      <c r="H326" s="467"/>
      <c r="I326" s="467"/>
      <c r="J326" s="467"/>
      <c r="K326" s="467"/>
      <c r="L326" s="467"/>
    </row>
    <row r="327" spans="2:12">
      <c r="B327" s="467"/>
      <c r="C327" s="467"/>
      <c r="D327" s="467"/>
      <c r="E327" s="467"/>
      <c r="F327" s="467"/>
      <c r="G327" s="467"/>
      <c r="H327" s="467"/>
      <c r="I327" s="467"/>
      <c r="J327" s="467"/>
      <c r="K327" s="467"/>
      <c r="L327" s="467"/>
    </row>
    <row r="328" spans="2:12">
      <c r="B328" s="467"/>
      <c r="C328" s="467"/>
      <c r="D328" s="467"/>
      <c r="E328" s="467"/>
      <c r="F328" s="467"/>
      <c r="G328" s="467"/>
      <c r="H328" s="467"/>
      <c r="I328" s="467"/>
      <c r="J328" s="467"/>
      <c r="K328" s="467"/>
      <c r="L328" s="467"/>
    </row>
    <row r="329" spans="2:12">
      <c r="B329" s="467"/>
      <c r="C329" s="467"/>
      <c r="D329" s="467"/>
      <c r="E329" s="467"/>
      <c r="F329" s="467"/>
      <c r="G329" s="467"/>
      <c r="H329" s="467"/>
      <c r="I329" s="467"/>
      <c r="J329" s="467"/>
      <c r="K329" s="467"/>
      <c r="L329" s="467"/>
    </row>
    <row r="330" spans="2:12">
      <c r="B330" s="467"/>
      <c r="C330" s="467"/>
      <c r="D330" s="467"/>
      <c r="E330" s="467"/>
      <c r="F330" s="467"/>
      <c r="G330" s="467"/>
      <c r="H330" s="467"/>
      <c r="I330" s="467"/>
      <c r="J330" s="467"/>
      <c r="K330" s="467"/>
      <c r="L330" s="467"/>
    </row>
    <row r="331" spans="2:12">
      <c r="B331" s="467"/>
      <c r="C331" s="467"/>
      <c r="D331" s="467"/>
      <c r="E331" s="467"/>
      <c r="F331" s="467"/>
      <c r="G331" s="467"/>
      <c r="H331" s="467"/>
      <c r="I331" s="467"/>
      <c r="J331" s="467"/>
      <c r="K331" s="467"/>
      <c r="L331" s="467"/>
    </row>
    <row r="332" spans="2:12">
      <c r="B332" s="467"/>
      <c r="C332" s="467"/>
      <c r="D332" s="467"/>
      <c r="E332" s="467"/>
      <c r="F332" s="467"/>
      <c r="G332" s="467"/>
      <c r="H332" s="467"/>
      <c r="I332" s="467"/>
      <c r="J332" s="467"/>
      <c r="K332" s="467"/>
      <c r="L332" s="467"/>
    </row>
    <row r="333" spans="2:12">
      <c r="B333" s="467"/>
      <c r="C333" s="467"/>
      <c r="D333" s="467"/>
      <c r="E333" s="467"/>
      <c r="F333" s="467"/>
      <c r="G333" s="467"/>
      <c r="H333" s="467"/>
      <c r="I333" s="467"/>
      <c r="J333" s="467"/>
      <c r="K333" s="467"/>
      <c r="L333" s="467"/>
    </row>
    <row r="334" spans="2:12">
      <c r="B334" s="467"/>
      <c r="C334" s="467"/>
      <c r="D334" s="467"/>
      <c r="E334" s="467"/>
      <c r="F334" s="467"/>
      <c r="G334" s="467"/>
      <c r="H334" s="467"/>
      <c r="I334" s="467"/>
      <c r="J334" s="467"/>
      <c r="K334" s="467"/>
      <c r="L334" s="467"/>
    </row>
    <row r="335" spans="2:12">
      <c r="B335" s="467"/>
      <c r="C335" s="467"/>
      <c r="D335" s="467"/>
      <c r="E335" s="467"/>
      <c r="F335" s="467"/>
      <c r="G335" s="467"/>
      <c r="H335" s="467"/>
      <c r="I335" s="467"/>
      <c r="J335" s="467"/>
      <c r="K335" s="467"/>
      <c r="L335" s="467"/>
    </row>
    <row r="336" spans="2:12">
      <c r="B336" s="467"/>
      <c r="C336" s="467"/>
      <c r="D336" s="467"/>
      <c r="E336" s="467"/>
      <c r="F336" s="467"/>
      <c r="G336" s="467"/>
      <c r="H336" s="467"/>
      <c r="I336" s="467"/>
      <c r="J336" s="467"/>
      <c r="K336" s="467"/>
      <c r="L336" s="467"/>
    </row>
    <row r="337" spans="2:12">
      <c r="B337" s="467"/>
      <c r="C337" s="467"/>
      <c r="D337" s="467"/>
      <c r="E337" s="467"/>
      <c r="F337" s="467"/>
      <c r="G337" s="467"/>
      <c r="H337" s="467"/>
      <c r="I337" s="467"/>
      <c r="J337" s="467"/>
      <c r="K337" s="467"/>
      <c r="L337" s="467"/>
    </row>
    <row r="338" spans="2:12">
      <c r="B338" s="467"/>
      <c r="C338" s="467"/>
      <c r="D338" s="467"/>
      <c r="E338" s="467"/>
      <c r="F338" s="467"/>
      <c r="G338" s="467"/>
      <c r="H338" s="467"/>
      <c r="I338" s="467"/>
      <c r="J338" s="467"/>
      <c r="K338" s="467"/>
      <c r="L338" s="467"/>
    </row>
    <row r="339" spans="2:12">
      <c r="B339" s="467"/>
      <c r="C339" s="467"/>
      <c r="D339" s="467"/>
      <c r="E339" s="467"/>
      <c r="F339" s="467"/>
      <c r="G339" s="467"/>
      <c r="H339" s="467"/>
      <c r="I339" s="467"/>
      <c r="J339" s="467"/>
      <c r="K339" s="467"/>
      <c r="L339" s="467"/>
    </row>
    <row r="340" spans="2:12">
      <c r="B340" s="467"/>
      <c r="C340" s="467"/>
      <c r="D340" s="467"/>
      <c r="E340" s="467"/>
      <c r="F340" s="467"/>
      <c r="G340" s="467"/>
      <c r="H340" s="467"/>
      <c r="I340" s="467"/>
      <c r="J340" s="467"/>
      <c r="K340" s="467"/>
      <c r="L340" s="467"/>
    </row>
    <row r="341" spans="2:12">
      <c r="B341" s="467"/>
      <c r="C341" s="467"/>
      <c r="D341" s="467"/>
      <c r="E341" s="467"/>
      <c r="F341" s="467"/>
      <c r="G341" s="467"/>
      <c r="H341" s="467"/>
      <c r="I341" s="467"/>
      <c r="J341" s="467"/>
      <c r="K341" s="467"/>
      <c r="L341" s="467"/>
    </row>
    <row r="342" spans="2:12">
      <c r="B342" s="467"/>
      <c r="C342" s="467"/>
      <c r="D342" s="467"/>
      <c r="E342" s="467"/>
      <c r="F342" s="467"/>
      <c r="G342" s="467"/>
      <c r="H342" s="467"/>
      <c r="I342" s="467"/>
      <c r="J342" s="467"/>
      <c r="K342" s="467"/>
      <c r="L342" s="467"/>
    </row>
    <row r="343" spans="2:12">
      <c r="B343" s="467"/>
      <c r="C343" s="467"/>
      <c r="D343" s="467"/>
      <c r="E343" s="467"/>
      <c r="F343" s="467"/>
      <c r="G343" s="467"/>
      <c r="H343" s="467"/>
      <c r="I343" s="467"/>
      <c r="J343" s="467"/>
      <c r="K343" s="467"/>
      <c r="L343" s="467"/>
    </row>
    <row r="344" spans="2:12">
      <c r="B344" s="467"/>
      <c r="C344" s="467"/>
      <c r="D344" s="467"/>
      <c r="E344" s="467"/>
      <c r="F344" s="467"/>
      <c r="G344" s="467"/>
      <c r="H344" s="467"/>
      <c r="I344" s="467"/>
      <c r="J344" s="467"/>
      <c r="K344" s="467"/>
      <c r="L344" s="467"/>
    </row>
    <row r="345" spans="2:12">
      <c r="B345" s="467"/>
      <c r="C345" s="467"/>
      <c r="D345" s="467"/>
      <c r="E345" s="467"/>
      <c r="F345" s="467"/>
      <c r="G345" s="467"/>
      <c r="H345" s="467"/>
      <c r="I345" s="467"/>
      <c r="J345" s="467"/>
      <c r="K345" s="467"/>
      <c r="L345" s="467"/>
    </row>
    <row r="346" spans="2:12">
      <c r="B346" s="467"/>
      <c r="C346" s="467"/>
      <c r="D346" s="467"/>
      <c r="E346" s="467"/>
      <c r="F346" s="467"/>
      <c r="G346" s="467"/>
      <c r="H346" s="467"/>
      <c r="I346" s="467"/>
      <c r="J346" s="467"/>
      <c r="K346" s="467"/>
      <c r="L346" s="467"/>
    </row>
    <row r="347" spans="2:12">
      <c r="B347" s="467"/>
      <c r="C347" s="467"/>
      <c r="D347" s="467"/>
      <c r="E347" s="467"/>
      <c r="F347" s="467"/>
      <c r="G347" s="467"/>
      <c r="H347" s="467"/>
      <c r="I347" s="467"/>
      <c r="J347" s="467"/>
      <c r="K347" s="467"/>
      <c r="L347" s="467"/>
    </row>
    <row r="348" spans="2:12">
      <c r="B348" s="467"/>
      <c r="C348" s="467"/>
      <c r="D348" s="467"/>
      <c r="E348" s="467"/>
      <c r="F348" s="467"/>
      <c r="G348" s="467"/>
      <c r="H348" s="467"/>
      <c r="I348" s="467"/>
      <c r="J348" s="467"/>
      <c r="K348" s="467"/>
      <c r="L348" s="467"/>
    </row>
    <row r="349" spans="2:12">
      <c r="B349" s="467"/>
      <c r="C349" s="467"/>
      <c r="D349" s="467"/>
      <c r="E349" s="467"/>
      <c r="F349" s="467"/>
      <c r="G349" s="467"/>
      <c r="H349" s="467"/>
      <c r="I349" s="467"/>
      <c r="J349" s="467"/>
      <c r="K349" s="467"/>
      <c r="L349" s="467"/>
    </row>
    <row r="350" spans="2:12">
      <c r="B350" s="467"/>
      <c r="C350" s="467"/>
      <c r="D350" s="467"/>
      <c r="E350" s="467"/>
      <c r="F350" s="467"/>
      <c r="G350" s="467"/>
      <c r="H350" s="467"/>
      <c r="I350" s="467"/>
      <c r="J350" s="467"/>
      <c r="K350" s="467"/>
      <c r="L350" s="467"/>
    </row>
    <row r="351" spans="2:12">
      <c r="B351" s="467"/>
      <c r="C351" s="467"/>
      <c r="D351" s="467"/>
      <c r="E351" s="467"/>
      <c r="F351" s="467"/>
      <c r="G351" s="467"/>
      <c r="H351" s="467"/>
      <c r="I351" s="467"/>
      <c r="J351" s="467"/>
      <c r="K351" s="467"/>
      <c r="L351" s="467"/>
    </row>
    <row r="352" spans="2:12">
      <c r="B352" s="467"/>
      <c r="C352" s="467"/>
      <c r="D352" s="467"/>
      <c r="E352" s="467"/>
      <c r="F352" s="467"/>
      <c r="G352" s="467"/>
      <c r="H352" s="467"/>
      <c r="I352" s="467"/>
      <c r="J352" s="467"/>
      <c r="K352" s="467"/>
      <c r="L352" s="467"/>
    </row>
    <row r="353" spans="2:12">
      <c r="B353" s="467"/>
      <c r="C353" s="467"/>
      <c r="D353" s="467"/>
      <c r="E353" s="467"/>
      <c r="F353" s="467"/>
      <c r="G353" s="467"/>
      <c r="H353" s="467"/>
      <c r="I353" s="467"/>
      <c r="J353" s="467"/>
      <c r="K353" s="467"/>
      <c r="L353" s="467"/>
    </row>
    <row r="354" spans="2:12">
      <c r="B354" s="467"/>
      <c r="C354" s="467"/>
      <c r="D354" s="467"/>
      <c r="E354" s="467"/>
      <c r="F354" s="467"/>
      <c r="G354" s="467"/>
      <c r="H354" s="467"/>
      <c r="I354" s="467"/>
      <c r="J354" s="467"/>
      <c r="K354" s="467"/>
      <c r="L354" s="467"/>
    </row>
    <row r="355" spans="2:12">
      <c r="B355" s="467"/>
      <c r="C355" s="467"/>
      <c r="D355" s="467"/>
      <c r="E355" s="467"/>
      <c r="F355" s="467"/>
      <c r="G355" s="467"/>
      <c r="H355" s="467"/>
      <c r="I355" s="467"/>
      <c r="J355" s="467"/>
      <c r="K355" s="467"/>
      <c r="L355" s="467"/>
    </row>
    <row r="356" spans="2:12">
      <c r="B356" s="467"/>
      <c r="C356" s="467"/>
      <c r="D356" s="467"/>
      <c r="E356" s="467"/>
      <c r="F356" s="467"/>
      <c r="G356" s="467"/>
      <c r="H356" s="467"/>
      <c r="I356" s="467"/>
      <c r="J356" s="467"/>
      <c r="K356" s="467"/>
      <c r="L356" s="467"/>
    </row>
    <row r="357" spans="2:12">
      <c r="B357" s="467"/>
      <c r="C357" s="467"/>
      <c r="D357" s="467"/>
      <c r="E357" s="467"/>
      <c r="F357" s="467"/>
      <c r="G357" s="467"/>
      <c r="H357" s="467"/>
      <c r="I357" s="467"/>
      <c r="J357" s="467"/>
      <c r="K357" s="467"/>
      <c r="L357" s="467"/>
    </row>
    <row r="358" spans="2:12">
      <c r="B358" s="467"/>
      <c r="C358" s="467"/>
      <c r="D358" s="467"/>
      <c r="E358" s="467"/>
      <c r="F358" s="467"/>
      <c r="G358" s="467"/>
      <c r="H358" s="467"/>
      <c r="I358" s="467"/>
      <c r="J358" s="467"/>
      <c r="K358" s="467"/>
      <c r="L358" s="467"/>
    </row>
    <row r="359" spans="2:12">
      <c r="B359" s="467"/>
      <c r="C359" s="467"/>
      <c r="D359" s="467"/>
      <c r="E359" s="467"/>
      <c r="F359" s="467"/>
      <c r="G359" s="467"/>
      <c r="H359" s="467"/>
      <c r="I359" s="467"/>
      <c r="J359" s="467"/>
      <c r="K359" s="467"/>
      <c r="L359" s="467"/>
    </row>
    <row r="360" spans="2:12">
      <c r="B360" s="467"/>
      <c r="C360" s="467"/>
      <c r="D360" s="467"/>
      <c r="E360" s="467"/>
      <c r="F360" s="467"/>
      <c r="G360" s="467"/>
      <c r="H360" s="467"/>
      <c r="I360" s="467"/>
      <c r="J360" s="467"/>
      <c r="K360" s="467"/>
      <c r="L360" s="467"/>
    </row>
    <row r="361" spans="2:12">
      <c r="B361" s="467"/>
      <c r="C361" s="467"/>
      <c r="D361" s="467"/>
      <c r="E361" s="467"/>
      <c r="F361" s="467"/>
      <c r="G361" s="467"/>
      <c r="H361" s="467"/>
      <c r="I361" s="467"/>
      <c r="J361" s="467"/>
      <c r="K361" s="467"/>
      <c r="L361" s="467"/>
    </row>
    <row r="362" spans="2:12">
      <c r="B362" s="467"/>
      <c r="C362" s="467"/>
      <c r="D362" s="467"/>
      <c r="E362" s="467"/>
      <c r="F362" s="467"/>
      <c r="G362" s="467"/>
      <c r="H362" s="467"/>
      <c r="I362" s="467"/>
      <c r="J362" s="467"/>
      <c r="K362" s="467"/>
      <c r="L362" s="467"/>
    </row>
    <row r="363" spans="2:12">
      <c r="B363" s="467"/>
      <c r="C363" s="467"/>
      <c r="D363" s="467"/>
      <c r="E363" s="467"/>
      <c r="F363" s="467"/>
      <c r="G363" s="467"/>
      <c r="H363" s="467"/>
      <c r="I363" s="467"/>
      <c r="J363" s="467"/>
      <c r="K363" s="467"/>
      <c r="L363" s="467"/>
    </row>
    <row r="364" spans="2:12">
      <c r="B364" s="467"/>
      <c r="C364" s="467"/>
      <c r="D364" s="467"/>
      <c r="E364" s="467"/>
      <c r="F364" s="467"/>
      <c r="G364" s="467"/>
      <c r="H364" s="467"/>
      <c r="I364" s="467"/>
      <c r="J364" s="467"/>
      <c r="K364" s="467"/>
      <c r="L364" s="467"/>
    </row>
    <row r="365" spans="2:12">
      <c r="B365" s="467"/>
      <c r="C365" s="467"/>
      <c r="D365" s="467"/>
      <c r="E365" s="467"/>
      <c r="F365" s="467"/>
      <c r="G365" s="467"/>
      <c r="H365" s="467"/>
      <c r="I365" s="467"/>
      <c r="J365" s="467"/>
      <c r="K365" s="467"/>
      <c r="L365" s="467"/>
    </row>
    <row r="366" spans="2:12">
      <c r="B366" s="467"/>
      <c r="C366" s="467"/>
      <c r="D366" s="467"/>
      <c r="E366" s="467"/>
      <c r="F366" s="467"/>
      <c r="G366" s="467"/>
      <c r="H366" s="467"/>
      <c r="I366" s="467"/>
      <c r="J366" s="467"/>
      <c r="K366" s="467"/>
      <c r="L366" s="467"/>
    </row>
    <row r="367" spans="2:12">
      <c r="B367" s="467"/>
      <c r="C367" s="467"/>
      <c r="D367" s="467"/>
      <c r="E367" s="467"/>
      <c r="F367" s="467"/>
      <c r="G367" s="467"/>
      <c r="H367" s="467"/>
      <c r="I367" s="467"/>
      <c r="J367" s="467"/>
      <c r="K367" s="467"/>
      <c r="L367" s="467"/>
    </row>
    <row r="368" spans="2:12">
      <c r="B368" s="467"/>
      <c r="C368" s="467"/>
      <c r="D368" s="467"/>
      <c r="E368" s="467"/>
      <c r="F368" s="467"/>
      <c r="G368" s="467"/>
      <c r="H368" s="467"/>
      <c r="I368" s="467"/>
      <c r="J368" s="467"/>
      <c r="K368" s="467"/>
      <c r="L368" s="467"/>
    </row>
    <row r="369" spans="2:12">
      <c r="B369" s="467"/>
      <c r="C369" s="467"/>
      <c r="D369" s="467"/>
      <c r="E369" s="467"/>
      <c r="F369" s="467"/>
      <c r="G369" s="467"/>
      <c r="H369" s="467"/>
      <c r="I369" s="467"/>
      <c r="J369" s="467"/>
      <c r="K369" s="467"/>
      <c r="L369" s="467"/>
    </row>
    <row r="370" spans="2:12">
      <c r="B370" s="467"/>
      <c r="C370" s="467"/>
      <c r="D370" s="467"/>
      <c r="E370" s="467"/>
      <c r="F370" s="467"/>
      <c r="G370" s="467"/>
      <c r="H370" s="467"/>
      <c r="I370" s="467"/>
      <c r="J370" s="467"/>
      <c r="K370" s="467"/>
      <c r="L370" s="467"/>
    </row>
    <row r="371" spans="2:12">
      <c r="B371" s="467"/>
      <c r="C371" s="467"/>
      <c r="D371" s="467"/>
      <c r="E371" s="467"/>
      <c r="F371" s="467"/>
      <c r="G371" s="467"/>
      <c r="H371" s="467"/>
      <c r="I371" s="467"/>
      <c r="J371" s="467"/>
      <c r="K371" s="467"/>
      <c r="L371" s="467"/>
    </row>
    <row r="372" spans="2:12">
      <c r="B372" s="467"/>
      <c r="C372" s="467"/>
      <c r="D372" s="467"/>
      <c r="E372" s="467"/>
      <c r="F372" s="467"/>
      <c r="G372" s="467"/>
      <c r="H372" s="467"/>
      <c r="I372" s="467"/>
      <c r="J372" s="467"/>
      <c r="K372" s="467"/>
      <c r="L372" s="467"/>
    </row>
    <row r="373" spans="2:12">
      <c r="B373" s="467"/>
      <c r="C373" s="467"/>
      <c r="D373" s="467"/>
      <c r="E373" s="467"/>
      <c r="F373" s="467"/>
      <c r="G373" s="467"/>
      <c r="H373" s="467"/>
      <c r="I373" s="467"/>
      <c r="J373" s="467"/>
      <c r="K373" s="467"/>
      <c r="L373" s="467"/>
    </row>
    <row r="374" spans="2:12">
      <c r="B374" s="467"/>
      <c r="C374" s="467"/>
      <c r="D374" s="467"/>
      <c r="E374" s="467"/>
      <c r="F374" s="467"/>
      <c r="G374" s="467"/>
      <c r="H374" s="467"/>
      <c r="I374" s="467"/>
      <c r="J374" s="467"/>
      <c r="K374" s="467"/>
      <c r="L374" s="467"/>
    </row>
    <row r="375" spans="2:12">
      <c r="B375" s="467"/>
      <c r="C375" s="467"/>
      <c r="D375" s="467"/>
      <c r="E375" s="467"/>
      <c r="F375" s="467"/>
      <c r="G375" s="467"/>
      <c r="H375" s="467"/>
      <c r="I375" s="467"/>
      <c r="J375" s="467"/>
      <c r="K375" s="467"/>
      <c r="L375" s="467"/>
    </row>
    <row r="376" spans="2:12">
      <c r="B376" s="467"/>
      <c r="C376" s="467"/>
      <c r="D376" s="467"/>
      <c r="E376" s="467"/>
      <c r="F376" s="467"/>
      <c r="G376" s="467"/>
      <c r="H376" s="467"/>
      <c r="I376" s="467"/>
      <c r="J376" s="467"/>
      <c r="K376" s="467"/>
      <c r="L376" s="467"/>
    </row>
    <row r="377" spans="2:12">
      <c r="B377" s="467"/>
      <c r="C377" s="467"/>
      <c r="D377" s="467"/>
      <c r="E377" s="467"/>
      <c r="F377" s="467"/>
      <c r="G377" s="467"/>
      <c r="H377" s="467"/>
      <c r="I377" s="467"/>
      <c r="J377" s="467"/>
      <c r="K377" s="467"/>
      <c r="L377" s="467"/>
    </row>
    <row r="378" spans="2:12">
      <c r="B378" s="467"/>
      <c r="C378" s="467"/>
      <c r="D378" s="467"/>
      <c r="E378" s="467"/>
      <c r="F378" s="467"/>
      <c r="G378" s="467"/>
      <c r="H378" s="467"/>
      <c r="I378" s="467"/>
      <c r="J378" s="467"/>
      <c r="K378" s="467"/>
      <c r="L378" s="467"/>
    </row>
    <row r="379" spans="2:12">
      <c r="B379" s="467"/>
      <c r="C379" s="467"/>
      <c r="D379" s="467"/>
      <c r="E379" s="467"/>
      <c r="F379" s="467"/>
      <c r="G379" s="467"/>
      <c r="H379" s="467"/>
      <c r="I379" s="467"/>
      <c r="J379" s="467"/>
      <c r="K379" s="467"/>
      <c r="L379" s="467"/>
    </row>
    <row r="380" spans="2:12">
      <c r="B380" s="467"/>
      <c r="C380" s="467"/>
      <c r="D380" s="467"/>
      <c r="E380" s="467"/>
      <c r="F380" s="467"/>
      <c r="G380" s="467"/>
      <c r="H380" s="467"/>
      <c r="I380" s="467"/>
      <c r="J380" s="467"/>
      <c r="K380" s="467"/>
      <c r="L380" s="467"/>
    </row>
    <row r="381" spans="2:12">
      <c r="B381" s="467"/>
      <c r="C381" s="467"/>
      <c r="D381" s="467"/>
      <c r="E381" s="467"/>
      <c r="F381" s="467"/>
      <c r="G381" s="467"/>
      <c r="H381" s="467"/>
      <c r="I381" s="467"/>
      <c r="J381" s="467"/>
      <c r="K381" s="467"/>
      <c r="L381" s="467"/>
    </row>
    <row r="382" spans="2:12">
      <c r="B382" s="467"/>
      <c r="C382" s="467"/>
      <c r="D382" s="467"/>
      <c r="E382" s="467"/>
      <c r="F382" s="467"/>
      <c r="G382" s="467"/>
      <c r="H382" s="467"/>
      <c r="I382" s="467"/>
      <c r="J382" s="467"/>
      <c r="K382" s="467"/>
      <c r="L382" s="467"/>
    </row>
    <row r="383" spans="2:12">
      <c r="B383" s="467"/>
      <c r="C383" s="467"/>
      <c r="D383" s="467"/>
      <c r="E383" s="467"/>
      <c r="F383" s="467"/>
      <c r="G383" s="467"/>
      <c r="H383" s="467"/>
      <c r="I383" s="467"/>
      <c r="J383" s="467"/>
      <c r="K383" s="467"/>
      <c r="L383" s="467"/>
    </row>
    <row r="384" spans="2:12">
      <c r="B384" s="467"/>
      <c r="C384" s="467"/>
      <c r="D384" s="467"/>
      <c r="E384" s="467"/>
      <c r="F384" s="467"/>
      <c r="G384" s="467"/>
      <c r="H384" s="467"/>
      <c r="I384" s="467"/>
      <c r="J384" s="467"/>
      <c r="K384" s="467"/>
      <c r="L384" s="467"/>
    </row>
    <row r="385" spans="2:12">
      <c r="B385" s="467"/>
      <c r="C385" s="467"/>
      <c r="D385" s="467"/>
      <c r="E385" s="467"/>
      <c r="F385" s="467"/>
      <c r="G385" s="467"/>
      <c r="H385" s="467"/>
      <c r="I385" s="467"/>
      <c r="J385" s="467"/>
      <c r="K385" s="467"/>
      <c r="L385" s="467"/>
    </row>
    <row r="386" spans="2:12">
      <c r="B386" s="467"/>
      <c r="C386" s="467"/>
      <c r="D386" s="467"/>
      <c r="E386" s="467"/>
      <c r="F386" s="467"/>
      <c r="G386" s="467"/>
      <c r="H386" s="467"/>
      <c r="I386" s="467"/>
      <c r="J386" s="467"/>
      <c r="K386" s="467"/>
      <c r="L386" s="467"/>
    </row>
    <row r="387" spans="2:12">
      <c r="B387" s="467"/>
      <c r="C387" s="467"/>
      <c r="D387" s="467"/>
      <c r="E387" s="467"/>
      <c r="F387" s="467"/>
      <c r="G387" s="467"/>
      <c r="H387" s="467"/>
      <c r="I387" s="467"/>
      <c r="J387" s="467"/>
      <c r="K387" s="467"/>
      <c r="L387" s="467"/>
    </row>
    <row r="388" spans="2:12">
      <c r="B388" s="467"/>
      <c r="C388" s="467"/>
      <c r="D388" s="467"/>
      <c r="E388" s="467"/>
      <c r="F388" s="467"/>
      <c r="G388" s="467"/>
      <c r="H388" s="467"/>
      <c r="I388" s="467"/>
      <c r="J388" s="467"/>
      <c r="K388" s="467"/>
      <c r="L388" s="467"/>
    </row>
    <row r="389" spans="2:12">
      <c r="B389" s="467"/>
      <c r="C389" s="467"/>
      <c r="D389" s="467"/>
      <c r="E389" s="467"/>
      <c r="F389" s="467"/>
      <c r="G389" s="467"/>
      <c r="H389" s="467"/>
      <c r="I389" s="467"/>
      <c r="J389" s="467"/>
      <c r="K389" s="467"/>
      <c r="L389" s="467"/>
    </row>
    <row r="390" spans="2:12">
      <c r="B390" s="467"/>
      <c r="C390" s="467"/>
      <c r="D390" s="467"/>
      <c r="E390" s="467"/>
      <c r="F390" s="467"/>
      <c r="G390" s="467"/>
      <c r="H390" s="467"/>
      <c r="I390" s="467"/>
      <c r="J390" s="467"/>
      <c r="K390" s="467"/>
      <c r="L390" s="467"/>
    </row>
    <row r="391" spans="2:12">
      <c r="B391" s="467"/>
      <c r="C391" s="467"/>
      <c r="D391" s="467"/>
      <c r="E391" s="467"/>
      <c r="F391" s="467"/>
      <c r="G391" s="467"/>
      <c r="H391" s="467"/>
      <c r="I391" s="467"/>
      <c r="J391" s="467"/>
      <c r="K391" s="467"/>
      <c r="L391" s="467"/>
    </row>
    <row r="392" spans="2:12">
      <c r="B392" s="467"/>
      <c r="C392" s="467"/>
      <c r="D392" s="467"/>
      <c r="E392" s="467"/>
      <c r="F392" s="467"/>
      <c r="G392" s="467"/>
      <c r="H392" s="467"/>
      <c r="I392" s="467"/>
      <c r="J392" s="467"/>
      <c r="K392" s="467"/>
      <c r="L392" s="467"/>
    </row>
    <row r="393" spans="2:12">
      <c r="B393" s="467"/>
      <c r="C393" s="467"/>
      <c r="D393" s="467"/>
      <c r="E393" s="467"/>
      <c r="F393" s="467"/>
      <c r="G393" s="467"/>
      <c r="H393" s="467"/>
      <c r="I393" s="467"/>
      <c r="J393" s="467"/>
      <c r="K393" s="467"/>
      <c r="L393" s="467"/>
    </row>
    <row r="394" spans="2:12">
      <c r="B394" s="467"/>
      <c r="C394" s="467"/>
      <c r="D394" s="467"/>
      <c r="E394" s="467"/>
      <c r="F394" s="467"/>
      <c r="G394" s="467"/>
      <c r="H394" s="467"/>
      <c r="I394" s="467"/>
      <c r="J394" s="467"/>
      <c r="K394" s="467"/>
      <c r="L394" s="467"/>
    </row>
    <row r="395" spans="2:12">
      <c r="B395" s="467"/>
      <c r="C395" s="467"/>
      <c r="D395" s="467"/>
      <c r="E395" s="467"/>
      <c r="F395" s="467"/>
      <c r="G395" s="467"/>
      <c r="H395" s="467"/>
      <c r="I395" s="467"/>
      <c r="J395" s="467"/>
      <c r="K395" s="467"/>
      <c r="L395" s="467"/>
    </row>
    <row r="396" spans="2:12">
      <c r="B396" s="467"/>
      <c r="C396" s="467"/>
      <c r="D396" s="467"/>
      <c r="E396" s="467"/>
      <c r="F396" s="467"/>
      <c r="G396" s="467"/>
      <c r="H396" s="467"/>
      <c r="I396" s="467"/>
      <c r="J396" s="467"/>
      <c r="K396" s="467"/>
      <c r="L396" s="467"/>
    </row>
    <row r="397" spans="2:12">
      <c r="B397" s="467"/>
      <c r="C397" s="467"/>
      <c r="D397" s="467"/>
      <c r="E397" s="467"/>
      <c r="F397" s="467"/>
      <c r="G397" s="467"/>
      <c r="H397" s="467"/>
      <c r="I397" s="467"/>
      <c r="J397" s="467"/>
      <c r="K397" s="467"/>
      <c r="L397" s="467"/>
    </row>
    <row r="398" spans="2:12">
      <c r="B398" s="467"/>
      <c r="C398" s="467"/>
      <c r="D398" s="467"/>
      <c r="E398" s="467"/>
      <c r="F398" s="467"/>
      <c r="G398" s="467"/>
      <c r="H398" s="467"/>
      <c r="I398" s="467"/>
      <c r="J398" s="467"/>
      <c r="K398" s="467"/>
      <c r="L398" s="467"/>
    </row>
    <row r="399" spans="2:12">
      <c r="B399" s="467"/>
      <c r="C399" s="467"/>
      <c r="D399" s="467"/>
      <c r="E399" s="467"/>
      <c r="F399" s="467"/>
      <c r="G399" s="467"/>
      <c r="H399" s="467"/>
      <c r="I399" s="467"/>
      <c r="J399" s="467"/>
      <c r="K399" s="467"/>
      <c r="L399" s="467"/>
    </row>
    <row r="400" spans="2:12">
      <c r="B400" s="467"/>
      <c r="C400" s="467"/>
      <c r="D400" s="467"/>
      <c r="E400" s="467"/>
      <c r="F400" s="467"/>
      <c r="G400" s="467"/>
      <c r="H400" s="467"/>
      <c r="I400" s="467"/>
      <c r="J400" s="467"/>
      <c r="K400" s="467"/>
      <c r="L400" s="467"/>
    </row>
    <row r="401" spans="2:12">
      <c r="B401" s="467"/>
      <c r="C401" s="467"/>
      <c r="D401" s="467"/>
      <c r="E401" s="467"/>
      <c r="F401" s="467"/>
      <c r="G401" s="467"/>
      <c r="H401" s="467"/>
      <c r="I401" s="467"/>
      <c r="J401" s="467"/>
      <c r="K401" s="467"/>
      <c r="L401" s="467"/>
    </row>
    <row r="402" spans="2:12">
      <c r="B402" s="467"/>
      <c r="C402" s="467"/>
      <c r="D402" s="467"/>
      <c r="E402" s="467"/>
      <c r="F402" s="467"/>
      <c r="G402" s="467"/>
      <c r="H402" s="467"/>
      <c r="I402" s="467"/>
      <c r="J402" s="467"/>
      <c r="K402" s="467"/>
      <c r="L402" s="467"/>
    </row>
    <row r="403" spans="2:12">
      <c r="B403" s="467"/>
      <c r="C403" s="467"/>
      <c r="D403" s="467"/>
      <c r="E403" s="467"/>
      <c r="F403" s="467"/>
      <c r="G403" s="467"/>
      <c r="H403" s="467"/>
      <c r="I403" s="467"/>
      <c r="J403" s="467"/>
      <c r="K403" s="467"/>
      <c r="L403" s="467"/>
    </row>
    <row r="404" spans="2:12">
      <c r="B404" s="467"/>
      <c r="C404" s="467"/>
      <c r="D404" s="467"/>
      <c r="E404" s="467"/>
      <c r="F404" s="467"/>
      <c r="G404" s="467"/>
      <c r="H404" s="467"/>
      <c r="I404" s="467"/>
      <c r="J404" s="467"/>
      <c r="K404" s="467"/>
      <c r="L404" s="467"/>
    </row>
    <row r="405" spans="2:12">
      <c r="B405" s="467"/>
      <c r="C405" s="467"/>
      <c r="D405" s="467"/>
      <c r="E405" s="467"/>
      <c r="F405" s="467"/>
      <c r="G405" s="467"/>
      <c r="H405" s="467"/>
      <c r="I405" s="467"/>
      <c r="J405" s="467"/>
      <c r="K405" s="467"/>
      <c r="L405" s="467"/>
    </row>
    <row r="406" spans="2:12">
      <c r="B406" s="467"/>
      <c r="C406" s="467"/>
      <c r="D406" s="467"/>
      <c r="E406" s="467"/>
      <c r="F406" s="467"/>
      <c r="G406" s="467"/>
      <c r="H406" s="467"/>
      <c r="I406" s="467"/>
      <c r="J406" s="467"/>
      <c r="K406" s="467"/>
      <c r="L406" s="467"/>
    </row>
    <row r="407" spans="2:12">
      <c r="B407" s="467"/>
      <c r="C407" s="467"/>
      <c r="D407" s="467"/>
      <c r="E407" s="467"/>
      <c r="F407" s="467"/>
      <c r="G407" s="467"/>
      <c r="H407" s="467"/>
      <c r="I407" s="467"/>
      <c r="J407" s="467"/>
      <c r="K407" s="467"/>
      <c r="L407" s="467"/>
    </row>
    <row r="408" spans="2:12">
      <c r="B408" s="467"/>
      <c r="C408" s="467"/>
      <c r="D408" s="467"/>
      <c r="E408" s="467"/>
      <c r="F408" s="467"/>
      <c r="G408" s="467"/>
      <c r="H408" s="467"/>
      <c r="I408" s="467"/>
      <c r="J408" s="467"/>
      <c r="K408" s="467"/>
      <c r="L408" s="467"/>
    </row>
    <row r="409" spans="2:12">
      <c r="B409" s="467"/>
      <c r="C409" s="467"/>
      <c r="D409" s="467"/>
      <c r="E409" s="467"/>
      <c r="F409" s="467"/>
      <c r="G409" s="467"/>
      <c r="H409" s="467"/>
      <c r="I409" s="467"/>
      <c r="J409" s="467"/>
      <c r="K409" s="467"/>
      <c r="L409" s="467"/>
    </row>
    <row r="410" spans="2:12">
      <c r="B410" s="467"/>
      <c r="C410" s="467"/>
      <c r="D410" s="467"/>
      <c r="E410" s="467"/>
      <c r="F410" s="467"/>
      <c r="G410" s="467"/>
      <c r="H410" s="467"/>
      <c r="I410" s="467"/>
      <c r="J410" s="467"/>
      <c r="K410" s="467"/>
      <c r="L410" s="467"/>
    </row>
    <row r="411" spans="2:12">
      <c r="B411" s="467"/>
      <c r="C411" s="467"/>
      <c r="D411" s="467"/>
      <c r="E411" s="467"/>
      <c r="F411" s="467"/>
      <c r="G411" s="467"/>
      <c r="H411" s="467"/>
      <c r="I411" s="467"/>
      <c r="J411" s="467"/>
      <c r="K411" s="467"/>
      <c r="L411" s="467"/>
    </row>
    <row r="412" spans="2:12">
      <c r="B412" s="467"/>
      <c r="C412" s="467"/>
      <c r="D412" s="467"/>
      <c r="E412" s="467"/>
      <c r="F412" s="467"/>
      <c r="G412" s="467"/>
      <c r="H412" s="467"/>
      <c r="I412" s="467"/>
      <c r="J412" s="467"/>
      <c r="K412" s="467"/>
      <c r="L412" s="467"/>
    </row>
    <row r="413" spans="2:12">
      <c r="B413" s="467"/>
      <c r="C413" s="467"/>
      <c r="D413" s="467"/>
      <c r="E413" s="467"/>
      <c r="F413" s="467"/>
      <c r="G413" s="467"/>
      <c r="H413" s="467"/>
      <c r="I413" s="467"/>
      <c r="J413" s="467"/>
      <c r="K413" s="467"/>
      <c r="L413" s="467"/>
    </row>
    <row r="414" spans="2:12">
      <c r="B414" s="467"/>
      <c r="C414" s="467"/>
      <c r="D414" s="467"/>
      <c r="E414" s="467"/>
      <c r="F414" s="467"/>
      <c r="G414" s="467"/>
      <c r="H414" s="467"/>
      <c r="I414" s="467"/>
      <c r="J414" s="467"/>
      <c r="K414" s="467"/>
      <c r="L414" s="467"/>
    </row>
    <row r="415" spans="2:12">
      <c r="B415" s="467"/>
      <c r="C415" s="467"/>
      <c r="D415" s="467"/>
      <c r="E415" s="467"/>
      <c r="F415" s="467"/>
      <c r="G415" s="467"/>
      <c r="H415" s="467"/>
      <c r="I415" s="467"/>
      <c r="J415" s="467"/>
      <c r="K415" s="467"/>
      <c r="L415" s="467"/>
    </row>
    <row r="416" spans="2:12">
      <c r="B416" s="467"/>
      <c r="C416" s="467"/>
      <c r="D416" s="467"/>
      <c r="E416" s="467"/>
      <c r="F416" s="467"/>
      <c r="G416" s="467"/>
      <c r="H416" s="467"/>
      <c r="I416" s="467"/>
      <c r="J416" s="467"/>
      <c r="K416" s="467"/>
      <c r="L416" s="467"/>
    </row>
    <row r="417" spans="2:12">
      <c r="B417" s="467"/>
      <c r="C417" s="467"/>
      <c r="D417" s="467"/>
      <c r="E417" s="467"/>
      <c r="F417" s="467"/>
      <c r="G417" s="467"/>
      <c r="H417" s="467"/>
      <c r="I417" s="467"/>
      <c r="J417" s="467"/>
      <c r="K417" s="467"/>
      <c r="L417" s="467"/>
    </row>
    <row r="418" spans="2:12">
      <c r="B418" s="467"/>
      <c r="C418" s="467"/>
      <c r="D418" s="467"/>
      <c r="E418" s="467"/>
      <c r="F418" s="467"/>
      <c r="G418" s="467"/>
      <c r="H418" s="467"/>
      <c r="I418" s="467"/>
      <c r="J418" s="467"/>
      <c r="K418" s="467"/>
      <c r="L418" s="467"/>
    </row>
    <row r="419" spans="2:12">
      <c r="B419" s="467"/>
      <c r="C419" s="467"/>
      <c r="D419" s="467"/>
      <c r="E419" s="467"/>
      <c r="F419" s="467"/>
      <c r="G419" s="467"/>
      <c r="H419" s="467"/>
      <c r="I419" s="467"/>
      <c r="J419" s="467"/>
      <c r="K419" s="467"/>
      <c r="L419" s="467"/>
    </row>
    <row r="420" spans="2:12">
      <c r="B420" s="467"/>
      <c r="C420" s="467"/>
      <c r="D420" s="467"/>
      <c r="E420" s="467"/>
      <c r="F420" s="467"/>
      <c r="G420" s="467"/>
      <c r="H420" s="467"/>
      <c r="I420" s="467"/>
      <c r="J420" s="467"/>
      <c r="K420" s="467"/>
      <c r="L420" s="467"/>
    </row>
    <row r="421" spans="2:12">
      <c r="B421" s="467"/>
      <c r="C421" s="467"/>
      <c r="D421" s="467"/>
      <c r="E421" s="467"/>
      <c r="F421" s="467"/>
      <c r="G421" s="467"/>
      <c r="H421" s="467"/>
      <c r="I421" s="467"/>
      <c r="J421" s="467"/>
      <c r="K421" s="467"/>
      <c r="L421" s="467"/>
    </row>
    <row r="422" spans="2:12">
      <c r="B422" s="467"/>
      <c r="C422" s="467"/>
      <c r="D422" s="467"/>
      <c r="E422" s="467"/>
      <c r="F422" s="467"/>
      <c r="G422" s="467"/>
      <c r="H422" s="467"/>
      <c r="I422" s="467"/>
      <c r="J422" s="467"/>
      <c r="K422" s="467"/>
      <c r="L422" s="467"/>
    </row>
    <row r="423" spans="2:12">
      <c r="B423" s="467"/>
      <c r="C423" s="467"/>
      <c r="D423" s="467"/>
      <c r="E423" s="467"/>
      <c r="F423" s="467"/>
      <c r="G423" s="467"/>
      <c r="H423" s="467"/>
      <c r="I423" s="467"/>
      <c r="J423" s="467"/>
      <c r="K423" s="467"/>
      <c r="L423" s="467"/>
    </row>
    <row r="424" spans="2:12">
      <c r="B424" s="467"/>
      <c r="C424" s="467"/>
      <c r="D424" s="467"/>
      <c r="E424" s="467"/>
      <c r="F424" s="467"/>
      <c r="G424" s="467"/>
      <c r="H424" s="467"/>
      <c r="I424" s="467"/>
      <c r="J424" s="467"/>
      <c r="K424" s="467"/>
      <c r="L424" s="467"/>
    </row>
    <row r="425" spans="2:12">
      <c r="B425" s="467"/>
      <c r="C425" s="467"/>
      <c r="D425" s="467"/>
      <c r="E425" s="467"/>
      <c r="F425" s="467"/>
      <c r="G425" s="467"/>
      <c r="H425" s="467"/>
      <c r="I425" s="467"/>
      <c r="J425" s="467"/>
      <c r="K425" s="467"/>
      <c r="L425" s="467"/>
    </row>
    <row r="426" spans="2:12">
      <c r="B426" s="467"/>
      <c r="C426" s="467"/>
      <c r="D426" s="467"/>
      <c r="E426" s="467"/>
      <c r="F426" s="467"/>
      <c r="G426" s="467"/>
      <c r="H426" s="467"/>
      <c r="I426" s="467"/>
      <c r="J426" s="467"/>
      <c r="K426" s="467"/>
      <c r="L426" s="467"/>
    </row>
    <row r="427" spans="2:12">
      <c r="B427" s="467"/>
      <c r="C427" s="467"/>
      <c r="D427" s="467"/>
      <c r="E427" s="467"/>
      <c r="F427" s="467"/>
      <c r="G427" s="467"/>
      <c r="H427" s="467"/>
      <c r="I427" s="467"/>
      <c r="J427" s="467"/>
      <c r="K427" s="467"/>
      <c r="L427" s="467"/>
    </row>
    <row r="428" spans="2:12">
      <c r="B428" s="467"/>
      <c r="C428" s="467"/>
      <c r="D428" s="467"/>
      <c r="E428" s="467"/>
      <c r="F428" s="467"/>
      <c r="G428" s="467"/>
      <c r="H428" s="467"/>
      <c r="I428" s="467"/>
      <c r="J428" s="467"/>
      <c r="K428" s="467"/>
      <c r="L428" s="467"/>
    </row>
    <row r="429" spans="2:12">
      <c r="B429" s="467"/>
      <c r="C429" s="467"/>
      <c r="D429" s="467"/>
      <c r="E429" s="467"/>
      <c r="F429" s="467"/>
      <c r="G429" s="467"/>
      <c r="H429" s="467"/>
      <c r="I429" s="467"/>
      <c r="J429" s="467"/>
      <c r="K429" s="467"/>
      <c r="L429" s="467"/>
    </row>
    <row r="430" spans="2:12">
      <c r="B430" s="467"/>
      <c r="C430" s="467"/>
      <c r="D430" s="467"/>
      <c r="E430" s="467"/>
      <c r="F430" s="467"/>
      <c r="G430" s="467"/>
      <c r="H430" s="467"/>
      <c r="I430" s="467"/>
      <c r="J430" s="467"/>
      <c r="K430" s="467"/>
      <c r="L430" s="467"/>
    </row>
    <row r="431" spans="2:12">
      <c r="B431" s="467"/>
      <c r="C431" s="467"/>
      <c r="D431" s="467"/>
      <c r="E431" s="467"/>
      <c r="F431" s="467"/>
      <c r="G431" s="467"/>
      <c r="H431" s="467"/>
      <c r="I431" s="467"/>
      <c r="J431" s="467"/>
      <c r="K431" s="467"/>
      <c r="L431" s="467"/>
    </row>
    <row r="432" spans="2:12">
      <c r="B432" s="467"/>
      <c r="C432" s="467"/>
      <c r="D432" s="467"/>
      <c r="E432" s="467"/>
      <c r="F432" s="467"/>
      <c r="G432" s="467"/>
      <c r="H432" s="467"/>
      <c r="I432" s="467"/>
      <c r="J432" s="467"/>
      <c r="K432" s="467"/>
      <c r="L432" s="467"/>
    </row>
    <row r="433" spans="2:12">
      <c r="B433" s="467"/>
      <c r="C433" s="467"/>
      <c r="D433" s="467"/>
      <c r="E433" s="467"/>
      <c r="F433" s="467"/>
      <c r="G433" s="467"/>
      <c r="H433" s="467"/>
      <c r="I433" s="467"/>
      <c r="J433" s="467"/>
      <c r="K433" s="467"/>
      <c r="L433" s="467"/>
    </row>
    <row r="434" spans="2:12">
      <c r="B434" s="467"/>
      <c r="C434" s="467"/>
      <c r="D434" s="467"/>
      <c r="E434" s="467"/>
      <c r="F434" s="467"/>
      <c r="G434" s="467"/>
      <c r="H434" s="467"/>
      <c r="I434" s="467"/>
      <c r="J434" s="467"/>
      <c r="K434" s="467"/>
      <c r="L434" s="467"/>
    </row>
    <row r="435" spans="2:12">
      <c r="B435" s="467"/>
      <c r="C435" s="467"/>
      <c r="D435" s="467"/>
      <c r="E435" s="467"/>
      <c r="F435" s="467"/>
      <c r="G435" s="467"/>
      <c r="H435" s="467"/>
      <c r="I435" s="467"/>
      <c r="J435" s="467"/>
      <c r="K435" s="467"/>
      <c r="L435" s="467"/>
    </row>
    <row r="436" spans="2:12">
      <c r="B436" s="467"/>
      <c r="C436" s="467"/>
      <c r="D436" s="467"/>
      <c r="E436" s="467"/>
      <c r="F436" s="467"/>
      <c r="G436" s="467"/>
      <c r="H436" s="467"/>
      <c r="I436" s="467"/>
      <c r="J436" s="467"/>
      <c r="K436" s="467"/>
      <c r="L436" s="467"/>
    </row>
    <row r="437" spans="2:12">
      <c r="B437" s="467"/>
      <c r="C437" s="467"/>
      <c r="D437" s="467"/>
      <c r="E437" s="467"/>
      <c r="F437" s="467"/>
      <c r="G437" s="467"/>
      <c r="H437" s="467"/>
      <c r="I437" s="467"/>
      <c r="J437" s="467"/>
      <c r="K437" s="467"/>
      <c r="L437" s="467"/>
    </row>
    <row r="438" spans="2:12">
      <c r="B438" s="467"/>
      <c r="C438" s="467"/>
      <c r="D438" s="467"/>
      <c r="E438" s="467"/>
      <c r="F438" s="467"/>
      <c r="G438" s="467"/>
      <c r="H438" s="467"/>
      <c r="I438" s="467"/>
      <c r="J438" s="467"/>
      <c r="K438" s="467"/>
      <c r="L438" s="467"/>
    </row>
    <row r="439" spans="2:12">
      <c r="B439" s="467"/>
      <c r="C439" s="467"/>
      <c r="D439" s="467"/>
      <c r="E439" s="467"/>
      <c r="F439" s="467"/>
      <c r="G439" s="467"/>
      <c r="H439" s="467"/>
      <c r="I439" s="467"/>
      <c r="J439" s="467"/>
      <c r="K439" s="467"/>
      <c r="L439" s="467"/>
    </row>
    <row r="440" spans="2:12">
      <c r="B440" s="467"/>
      <c r="C440" s="467"/>
      <c r="D440" s="467"/>
      <c r="E440" s="467"/>
      <c r="F440" s="467"/>
      <c r="G440" s="467"/>
      <c r="H440" s="467"/>
      <c r="I440" s="467"/>
      <c r="J440" s="467"/>
      <c r="K440" s="467"/>
      <c r="L440" s="467"/>
    </row>
    <row r="441" spans="2:12">
      <c r="B441" s="467"/>
      <c r="C441" s="467"/>
      <c r="D441" s="467"/>
      <c r="E441" s="467"/>
      <c r="F441" s="467"/>
      <c r="G441" s="467"/>
      <c r="H441" s="467"/>
      <c r="I441" s="467"/>
      <c r="J441" s="467"/>
      <c r="K441" s="467"/>
      <c r="L441" s="467"/>
    </row>
    <row r="442" spans="2:12">
      <c r="B442" s="467"/>
      <c r="C442" s="467"/>
      <c r="D442" s="467"/>
      <c r="E442" s="467"/>
      <c r="F442" s="467"/>
      <c r="G442" s="467"/>
      <c r="H442" s="467"/>
      <c r="I442" s="467"/>
      <c r="J442" s="467"/>
      <c r="K442" s="467"/>
      <c r="L442" s="467"/>
    </row>
    <row r="443" spans="2:12">
      <c r="B443" s="467"/>
      <c r="C443" s="467"/>
      <c r="D443" s="467"/>
      <c r="E443" s="467"/>
      <c r="F443" s="467"/>
      <c r="G443" s="467"/>
      <c r="H443" s="467"/>
      <c r="I443" s="467"/>
      <c r="J443" s="467"/>
      <c r="K443" s="467"/>
      <c r="L443" s="467"/>
    </row>
    <row r="444" spans="2:12">
      <c r="B444" s="467"/>
      <c r="C444" s="467"/>
      <c r="D444" s="467"/>
      <c r="E444" s="467"/>
      <c r="F444" s="467"/>
      <c r="G444" s="467"/>
      <c r="H444" s="467"/>
      <c r="I444" s="467"/>
      <c r="J444" s="467"/>
      <c r="K444" s="467"/>
      <c r="L444" s="467"/>
    </row>
    <row r="445" spans="2:12">
      <c r="B445" s="467"/>
      <c r="C445" s="467"/>
      <c r="D445" s="467"/>
      <c r="E445" s="467"/>
      <c r="F445" s="467"/>
      <c r="G445" s="467"/>
      <c r="H445" s="467"/>
      <c r="I445" s="467"/>
      <c r="J445" s="467"/>
      <c r="K445" s="467"/>
      <c r="L445" s="467"/>
    </row>
    <row r="446" spans="2:12">
      <c r="B446" s="467"/>
      <c r="C446" s="467"/>
      <c r="D446" s="467"/>
      <c r="E446" s="467"/>
      <c r="F446" s="467"/>
      <c r="G446" s="467"/>
      <c r="H446" s="467"/>
      <c r="I446" s="467"/>
      <c r="J446" s="467"/>
      <c r="K446" s="467"/>
      <c r="L446" s="467"/>
    </row>
    <row r="447" spans="2:12">
      <c r="B447" s="467"/>
      <c r="C447" s="467"/>
      <c r="D447" s="467"/>
      <c r="E447" s="467"/>
      <c r="F447" s="467"/>
      <c r="G447" s="467"/>
      <c r="H447" s="467"/>
      <c r="I447" s="467"/>
      <c r="J447" s="467"/>
      <c r="K447" s="467"/>
      <c r="L447" s="467"/>
    </row>
    <row r="448" spans="2:12">
      <c r="B448" s="467"/>
      <c r="C448" s="467"/>
      <c r="D448" s="467"/>
      <c r="E448" s="467"/>
      <c r="F448" s="467"/>
      <c r="G448" s="467"/>
      <c r="H448" s="467"/>
      <c r="I448" s="467"/>
      <c r="J448" s="467"/>
      <c r="K448" s="467"/>
      <c r="L448" s="467"/>
    </row>
    <row r="449" spans="2:12">
      <c r="B449" s="467"/>
      <c r="C449" s="467"/>
      <c r="D449" s="467"/>
      <c r="E449" s="467"/>
      <c r="F449" s="467"/>
      <c r="G449" s="467"/>
      <c r="H449" s="467"/>
      <c r="I449" s="467"/>
      <c r="J449" s="467"/>
      <c r="K449" s="467"/>
      <c r="L449" s="467"/>
    </row>
    <row r="450" spans="2:12">
      <c r="B450" s="467"/>
      <c r="C450" s="467"/>
      <c r="D450" s="467"/>
      <c r="E450" s="467"/>
      <c r="F450" s="467"/>
      <c r="G450" s="467"/>
      <c r="H450" s="467"/>
      <c r="I450" s="467"/>
      <c r="J450" s="467"/>
      <c r="K450" s="467"/>
      <c r="L450" s="467"/>
    </row>
    <row r="451" spans="2:12">
      <c r="B451" s="467"/>
      <c r="C451" s="467"/>
      <c r="D451" s="467"/>
      <c r="E451" s="467"/>
      <c r="F451" s="467"/>
      <c r="G451" s="467"/>
      <c r="H451" s="467"/>
      <c r="I451" s="467"/>
      <c r="J451" s="467"/>
      <c r="K451" s="467"/>
      <c r="L451" s="467"/>
    </row>
    <row r="452" spans="2:12">
      <c r="B452" s="467"/>
      <c r="C452" s="467"/>
      <c r="D452" s="467"/>
      <c r="E452" s="467"/>
      <c r="F452" s="467"/>
      <c r="G452" s="467"/>
      <c r="H452" s="467"/>
      <c r="I452" s="467"/>
      <c r="J452" s="467"/>
      <c r="K452" s="467"/>
      <c r="L452" s="467"/>
    </row>
    <row r="453" spans="2:12">
      <c r="B453" s="467"/>
      <c r="C453" s="467"/>
      <c r="D453" s="467"/>
      <c r="E453" s="467"/>
      <c r="F453" s="467"/>
      <c r="G453" s="467"/>
      <c r="H453" s="467"/>
      <c r="I453" s="467"/>
      <c r="J453" s="467"/>
      <c r="K453" s="467"/>
      <c r="L453" s="467"/>
    </row>
    <row r="454" spans="2:12">
      <c r="B454" s="467"/>
      <c r="C454" s="467"/>
      <c r="D454" s="467"/>
      <c r="E454" s="467"/>
      <c r="F454" s="467"/>
      <c r="G454" s="467"/>
      <c r="H454" s="467"/>
      <c r="I454" s="467"/>
      <c r="J454" s="467"/>
      <c r="K454" s="467"/>
      <c r="L454" s="467"/>
    </row>
    <row r="455" spans="2:12">
      <c r="B455" s="467"/>
      <c r="C455" s="467"/>
      <c r="D455" s="467"/>
      <c r="E455" s="467"/>
      <c r="F455" s="467"/>
      <c r="G455" s="467"/>
      <c r="H455" s="467"/>
      <c r="I455" s="467"/>
      <c r="J455" s="467"/>
      <c r="K455" s="467"/>
      <c r="L455" s="467"/>
    </row>
    <row r="456" spans="2:12">
      <c r="B456" s="467"/>
      <c r="C456" s="467"/>
      <c r="D456" s="467"/>
      <c r="E456" s="467"/>
      <c r="F456" s="467"/>
      <c r="G456" s="467"/>
      <c r="H456" s="467"/>
      <c r="I456" s="467"/>
      <c r="J456" s="467"/>
      <c r="K456" s="467"/>
      <c r="L456" s="467"/>
    </row>
    <row r="457" spans="2:12">
      <c r="B457" s="467"/>
      <c r="C457" s="467"/>
      <c r="D457" s="467"/>
      <c r="E457" s="467"/>
      <c r="F457" s="467"/>
      <c r="G457" s="467"/>
      <c r="H457" s="467"/>
      <c r="I457" s="467"/>
      <c r="J457" s="467"/>
      <c r="K457" s="467"/>
      <c r="L457" s="467"/>
    </row>
    <row r="458" spans="2:12">
      <c r="B458" s="467"/>
      <c r="C458" s="467"/>
      <c r="D458" s="467"/>
      <c r="E458" s="467"/>
      <c r="F458" s="467"/>
      <c r="G458" s="467"/>
      <c r="H458" s="467"/>
      <c r="I458" s="467"/>
      <c r="J458" s="467"/>
      <c r="K458" s="467"/>
      <c r="L458" s="467"/>
    </row>
    <row r="459" spans="2:12">
      <c r="B459" s="467"/>
      <c r="C459" s="467"/>
      <c r="D459" s="467"/>
      <c r="E459" s="467"/>
      <c r="F459" s="467"/>
      <c r="G459" s="467"/>
      <c r="H459" s="467"/>
      <c r="I459" s="467"/>
      <c r="J459" s="467"/>
      <c r="K459" s="467"/>
      <c r="L459" s="467"/>
    </row>
    <row r="460" spans="2:12">
      <c r="B460" s="467"/>
      <c r="C460" s="467"/>
      <c r="D460" s="467"/>
      <c r="E460" s="467"/>
      <c r="F460" s="467"/>
      <c r="G460" s="467"/>
      <c r="H460" s="467"/>
      <c r="I460" s="467"/>
      <c r="J460" s="467"/>
      <c r="K460" s="467"/>
      <c r="L460" s="467"/>
    </row>
    <row r="461" spans="2:12">
      <c r="B461" s="467"/>
      <c r="C461" s="467"/>
      <c r="D461" s="467"/>
      <c r="E461" s="467"/>
      <c r="F461" s="467"/>
      <c r="G461" s="467"/>
      <c r="H461" s="467"/>
      <c r="I461" s="467"/>
      <c r="J461" s="467"/>
      <c r="K461" s="467"/>
      <c r="L461" s="467"/>
    </row>
    <row r="462" spans="2:12">
      <c r="B462" s="467"/>
      <c r="C462" s="467"/>
      <c r="D462" s="467"/>
      <c r="E462" s="467"/>
      <c r="F462" s="467"/>
      <c r="G462" s="467"/>
      <c r="H462" s="467"/>
      <c r="I462" s="467"/>
      <c r="J462" s="467"/>
      <c r="K462" s="467"/>
      <c r="L462" s="467"/>
    </row>
    <row r="463" spans="2:12">
      <c r="B463" s="467"/>
      <c r="C463" s="467"/>
      <c r="D463" s="467"/>
      <c r="E463" s="467"/>
      <c r="F463" s="467"/>
      <c r="G463" s="467"/>
      <c r="H463" s="467"/>
      <c r="I463" s="467"/>
      <c r="J463" s="467"/>
      <c r="K463" s="467"/>
      <c r="L463" s="467"/>
    </row>
    <row r="464" spans="2:12">
      <c r="B464" s="467"/>
      <c r="C464" s="467"/>
      <c r="D464" s="467"/>
      <c r="E464" s="467"/>
      <c r="F464" s="467"/>
      <c r="G464" s="467"/>
      <c r="H464" s="467"/>
      <c r="I464" s="467"/>
      <c r="J464" s="467"/>
      <c r="K464" s="467"/>
      <c r="L464" s="467"/>
    </row>
    <row r="465" spans="2:12">
      <c r="B465" s="467"/>
      <c r="C465" s="467"/>
      <c r="D465" s="467"/>
      <c r="E465" s="467"/>
      <c r="F465" s="467"/>
      <c r="G465" s="467"/>
      <c r="H465" s="467"/>
      <c r="I465" s="467"/>
      <c r="J465" s="467"/>
      <c r="K465" s="467"/>
      <c r="L465" s="467"/>
    </row>
    <row r="466" spans="2:12">
      <c r="B466" s="467"/>
      <c r="C466" s="467"/>
      <c r="D466" s="467"/>
      <c r="E466" s="467"/>
      <c r="F466" s="467"/>
      <c r="G466" s="467"/>
      <c r="H466" s="467"/>
      <c r="I466" s="467"/>
      <c r="J466" s="467"/>
      <c r="K466" s="467"/>
      <c r="L466" s="467"/>
    </row>
    <row r="467" spans="2:12">
      <c r="B467" s="467"/>
      <c r="C467" s="467"/>
      <c r="D467" s="467"/>
      <c r="E467" s="467"/>
      <c r="F467" s="467"/>
      <c r="G467" s="467"/>
      <c r="H467" s="467"/>
      <c r="I467" s="467"/>
      <c r="J467" s="467"/>
      <c r="K467" s="467"/>
      <c r="L467" s="467"/>
    </row>
    <row r="468" spans="2:12">
      <c r="B468" s="467"/>
      <c r="C468" s="467"/>
      <c r="D468" s="467"/>
      <c r="E468" s="467"/>
      <c r="F468" s="467"/>
      <c r="G468" s="467"/>
      <c r="H468" s="467"/>
      <c r="I468" s="467"/>
      <c r="J468" s="467"/>
      <c r="K468" s="467"/>
      <c r="L468" s="467"/>
    </row>
    <row r="469" spans="2:12">
      <c r="B469" s="467"/>
      <c r="C469" s="467"/>
      <c r="D469" s="467"/>
      <c r="E469" s="467"/>
      <c r="F469" s="467"/>
      <c r="G469" s="467"/>
      <c r="H469" s="467"/>
      <c r="I469" s="467"/>
      <c r="J469" s="467"/>
      <c r="K469" s="467"/>
      <c r="L469" s="467"/>
    </row>
    <row r="470" spans="2:12">
      <c r="B470" s="467"/>
      <c r="C470" s="467"/>
      <c r="D470" s="467"/>
      <c r="E470" s="467"/>
      <c r="F470" s="467"/>
      <c r="G470" s="467"/>
      <c r="H470" s="467"/>
      <c r="I470" s="467"/>
      <c r="J470" s="467"/>
      <c r="K470" s="467"/>
      <c r="L470" s="467"/>
    </row>
    <row r="471" spans="2:12">
      <c r="B471" s="467"/>
      <c r="C471" s="467"/>
      <c r="D471" s="467"/>
      <c r="E471" s="467"/>
      <c r="F471" s="467"/>
      <c r="G471" s="467"/>
      <c r="H471" s="467"/>
      <c r="I471" s="467"/>
      <c r="J471" s="467"/>
      <c r="K471" s="467"/>
      <c r="L471" s="467"/>
    </row>
    <row r="472" spans="2:12">
      <c r="B472" s="467"/>
      <c r="C472" s="467"/>
      <c r="D472" s="467"/>
      <c r="E472" s="467"/>
      <c r="F472" s="467"/>
      <c r="G472" s="467"/>
      <c r="H472" s="467"/>
      <c r="I472" s="467"/>
      <c r="J472" s="467"/>
      <c r="K472" s="467"/>
      <c r="L472" s="467"/>
    </row>
    <row r="473" spans="2:12">
      <c r="B473" s="467"/>
      <c r="C473" s="467"/>
      <c r="D473" s="467"/>
      <c r="E473" s="467"/>
      <c r="F473" s="467"/>
      <c r="G473" s="467"/>
      <c r="H473" s="467"/>
      <c r="I473" s="467"/>
      <c r="J473" s="467"/>
      <c r="K473" s="467"/>
      <c r="L473" s="467"/>
    </row>
    <row r="474" spans="2:12">
      <c r="B474" s="467"/>
      <c r="C474" s="467"/>
      <c r="D474" s="467"/>
      <c r="E474" s="467"/>
      <c r="F474" s="467"/>
      <c r="G474" s="467"/>
      <c r="H474" s="467"/>
      <c r="I474" s="467"/>
      <c r="J474" s="467"/>
      <c r="K474" s="467"/>
      <c r="L474" s="467"/>
    </row>
    <row r="475" spans="2:12">
      <c r="B475" s="467"/>
      <c r="C475" s="467"/>
      <c r="D475" s="467"/>
      <c r="E475" s="467"/>
      <c r="F475" s="467"/>
      <c r="G475" s="467"/>
      <c r="H475" s="467"/>
      <c r="I475" s="467"/>
      <c r="J475" s="467"/>
      <c r="K475" s="467"/>
      <c r="L475" s="467"/>
    </row>
    <row r="476" spans="2:12">
      <c r="B476" s="467"/>
      <c r="C476" s="467"/>
      <c r="D476" s="467"/>
      <c r="E476" s="467"/>
      <c r="F476" s="467"/>
      <c r="G476" s="467"/>
      <c r="H476" s="467"/>
      <c r="I476" s="467"/>
      <c r="J476" s="467"/>
      <c r="K476" s="467"/>
      <c r="L476" s="467"/>
    </row>
    <row r="477" spans="2:12">
      <c r="B477" s="467"/>
      <c r="C477" s="467"/>
      <c r="D477" s="467"/>
      <c r="E477" s="467"/>
      <c r="F477" s="467"/>
      <c r="G477" s="467"/>
      <c r="H477" s="467"/>
      <c r="I477" s="467"/>
      <c r="J477" s="467"/>
      <c r="K477" s="467"/>
      <c r="L477" s="467"/>
    </row>
    <row r="478" spans="2:12">
      <c r="B478" s="467"/>
      <c r="C478" s="467"/>
      <c r="D478" s="467"/>
      <c r="E478" s="467"/>
      <c r="F478" s="467"/>
      <c r="G478" s="467"/>
      <c r="H478" s="467"/>
      <c r="I478" s="467"/>
      <c r="J478" s="467"/>
      <c r="K478" s="467"/>
      <c r="L478" s="467"/>
    </row>
    <row r="479" spans="2:12">
      <c r="B479" s="467"/>
      <c r="C479" s="467"/>
      <c r="D479" s="467"/>
      <c r="E479" s="467"/>
      <c r="F479" s="467"/>
      <c r="G479" s="467"/>
      <c r="H479" s="467"/>
      <c r="I479" s="467"/>
      <c r="J479" s="467"/>
      <c r="K479" s="467"/>
      <c r="L479" s="467"/>
    </row>
    <row r="480" spans="2:12">
      <c r="B480" s="467"/>
      <c r="C480" s="467"/>
      <c r="D480" s="467"/>
      <c r="E480" s="467"/>
      <c r="F480" s="467"/>
      <c r="G480" s="467"/>
      <c r="H480" s="467"/>
      <c r="I480" s="467"/>
      <c r="J480" s="467"/>
      <c r="K480" s="467"/>
      <c r="L480" s="467"/>
    </row>
    <row r="481" spans="2:12">
      <c r="B481" s="467"/>
      <c r="C481" s="467"/>
      <c r="D481" s="467"/>
      <c r="E481" s="467"/>
      <c r="F481" s="467"/>
      <c r="G481" s="467"/>
      <c r="H481" s="467"/>
      <c r="I481" s="467"/>
      <c r="J481" s="467"/>
      <c r="K481" s="467"/>
      <c r="L481" s="467"/>
    </row>
    <row r="482" spans="2:12">
      <c r="B482" s="467"/>
      <c r="C482" s="467"/>
      <c r="D482" s="467"/>
      <c r="E482" s="467"/>
      <c r="F482" s="467"/>
      <c r="G482" s="467"/>
      <c r="H482" s="467"/>
      <c r="I482" s="467"/>
      <c r="J482" s="467"/>
      <c r="K482" s="467"/>
      <c r="L482" s="467"/>
    </row>
    <row r="483" spans="2:12">
      <c r="B483" s="467"/>
      <c r="C483" s="467"/>
      <c r="D483" s="467"/>
      <c r="E483" s="467"/>
      <c r="F483" s="467"/>
      <c r="G483" s="467"/>
      <c r="H483" s="467"/>
      <c r="I483" s="467"/>
      <c r="J483" s="467"/>
      <c r="K483" s="467"/>
      <c r="L483" s="467"/>
    </row>
    <row r="484" spans="2:12">
      <c r="B484" s="467"/>
      <c r="C484" s="467"/>
      <c r="D484" s="467"/>
      <c r="E484" s="467"/>
      <c r="F484" s="467"/>
      <c r="G484" s="467"/>
      <c r="H484" s="467"/>
      <c r="I484" s="467"/>
      <c r="J484" s="467"/>
      <c r="K484" s="467"/>
      <c r="L484" s="467"/>
    </row>
    <row r="485" spans="2:12">
      <c r="B485" s="467"/>
      <c r="C485" s="467"/>
      <c r="D485" s="467"/>
      <c r="E485" s="467"/>
      <c r="F485" s="467"/>
      <c r="G485" s="467"/>
      <c r="H485" s="467"/>
      <c r="I485" s="467"/>
      <c r="J485" s="467"/>
      <c r="K485" s="467"/>
      <c r="L485" s="467"/>
    </row>
    <row r="486" spans="2:12">
      <c r="B486" s="467"/>
      <c r="C486" s="467"/>
      <c r="D486" s="467"/>
      <c r="E486" s="467"/>
      <c r="F486" s="467"/>
      <c r="G486" s="467"/>
      <c r="H486" s="467"/>
      <c r="I486" s="467"/>
      <c r="J486" s="467"/>
      <c r="K486" s="467"/>
      <c r="L486" s="467"/>
    </row>
    <row r="487" spans="2:12">
      <c r="B487" s="467"/>
      <c r="C487" s="467"/>
      <c r="D487" s="467"/>
      <c r="E487" s="467"/>
      <c r="F487" s="467"/>
      <c r="G487" s="467"/>
      <c r="H487" s="467"/>
      <c r="I487" s="467"/>
      <c r="J487" s="467"/>
      <c r="K487" s="467"/>
      <c r="L487" s="467"/>
    </row>
    <row r="488" spans="2:12">
      <c r="B488" s="467"/>
      <c r="C488" s="467"/>
      <c r="D488" s="467"/>
      <c r="E488" s="467"/>
      <c r="F488" s="467"/>
      <c r="G488" s="467"/>
      <c r="H488" s="467"/>
      <c r="I488" s="467"/>
      <c r="J488" s="467"/>
      <c r="K488" s="467"/>
      <c r="L488" s="467"/>
    </row>
    <row r="489" spans="2:12">
      <c r="B489" s="467"/>
      <c r="C489" s="467"/>
      <c r="D489" s="467"/>
      <c r="E489" s="467"/>
      <c r="F489" s="467"/>
      <c r="G489" s="467"/>
      <c r="H489" s="467"/>
      <c r="I489" s="467"/>
      <c r="J489" s="467"/>
      <c r="K489" s="467"/>
      <c r="L489" s="467"/>
    </row>
    <row r="490" spans="2:12">
      <c r="B490" s="467"/>
      <c r="C490" s="467"/>
      <c r="D490" s="467"/>
      <c r="E490" s="467"/>
      <c r="F490" s="467"/>
      <c r="G490" s="467"/>
      <c r="H490" s="467"/>
      <c r="I490" s="467"/>
      <c r="J490" s="467"/>
      <c r="K490" s="467"/>
      <c r="L490" s="467"/>
    </row>
    <row r="491" spans="2:12">
      <c r="B491" s="467"/>
      <c r="C491" s="467"/>
      <c r="D491" s="467"/>
      <c r="E491" s="467"/>
      <c r="F491" s="467"/>
      <c r="G491" s="467"/>
      <c r="H491" s="467"/>
      <c r="I491" s="467"/>
      <c r="J491" s="467"/>
      <c r="K491" s="467"/>
      <c r="L491" s="467"/>
    </row>
    <row r="492" spans="2:12">
      <c r="B492" s="467"/>
      <c r="C492" s="467"/>
      <c r="D492" s="467"/>
      <c r="E492" s="467"/>
      <c r="F492" s="467"/>
      <c r="G492" s="467"/>
      <c r="H492" s="467"/>
      <c r="I492" s="467"/>
      <c r="J492" s="467"/>
      <c r="K492" s="467"/>
      <c r="L492" s="467"/>
    </row>
    <row r="493" spans="2:12">
      <c r="B493" s="467"/>
      <c r="C493" s="467"/>
      <c r="D493" s="467"/>
      <c r="E493" s="467"/>
      <c r="F493" s="467"/>
      <c r="G493" s="467"/>
      <c r="H493" s="467"/>
      <c r="I493" s="467"/>
      <c r="J493" s="467"/>
      <c r="K493" s="467"/>
      <c r="L493" s="467"/>
    </row>
    <row r="494" spans="2:12">
      <c r="B494" s="467"/>
      <c r="C494" s="467"/>
      <c r="D494" s="467"/>
      <c r="E494" s="467"/>
      <c r="F494" s="467"/>
      <c r="G494" s="467"/>
      <c r="H494" s="467"/>
      <c r="I494" s="467"/>
      <c r="J494" s="467"/>
      <c r="K494" s="467"/>
      <c r="L494" s="467"/>
    </row>
    <row r="495" spans="2:12">
      <c r="B495" s="467"/>
      <c r="C495" s="467"/>
      <c r="D495" s="467"/>
      <c r="E495" s="467"/>
      <c r="F495" s="467"/>
      <c r="G495" s="467"/>
      <c r="H495" s="467"/>
      <c r="I495" s="467"/>
      <c r="J495" s="467"/>
      <c r="K495" s="467"/>
      <c r="L495" s="467"/>
    </row>
    <row r="496" spans="2:12">
      <c r="B496" s="467"/>
      <c r="C496" s="467"/>
      <c r="D496" s="467"/>
      <c r="E496" s="467"/>
      <c r="F496" s="467"/>
      <c r="G496" s="467"/>
      <c r="H496" s="467"/>
      <c r="I496" s="467"/>
      <c r="J496" s="467"/>
      <c r="K496" s="467"/>
      <c r="L496" s="467"/>
    </row>
    <row r="497" spans="2:12">
      <c r="B497" s="467"/>
      <c r="C497" s="467"/>
      <c r="D497" s="467"/>
      <c r="E497" s="467"/>
      <c r="F497" s="467"/>
      <c r="G497" s="467"/>
      <c r="H497" s="467"/>
      <c r="I497" s="467"/>
      <c r="J497" s="467"/>
      <c r="K497" s="467"/>
      <c r="L497" s="467"/>
    </row>
    <row r="498" spans="2:12">
      <c r="B498" s="467"/>
      <c r="C498" s="467"/>
      <c r="D498" s="467"/>
      <c r="E498" s="467"/>
      <c r="F498" s="467"/>
      <c r="G498" s="467"/>
      <c r="H498" s="467"/>
      <c r="I498" s="467"/>
      <c r="J498" s="467"/>
      <c r="K498" s="467"/>
      <c r="L498" s="467"/>
    </row>
    <row r="499" spans="2:12">
      <c r="B499" s="467"/>
      <c r="C499" s="467"/>
      <c r="D499" s="467"/>
      <c r="E499" s="467"/>
      <c r="F499" s="467"/>
      <c r="G499" s="467"/>
      <c r="H499" s="467"/>
      <c r="I499" s="467"/>
      <c r="J499" s="467"/>
      <c r="K499" s="467"/>
      <c r="L499" s="467"/>
    </row>
    <row r="500" spans="2:12">
      <c r="B500" s="467"/>
      <c r="C500" s="467"/>
      <c r="D500" s="467"/>
      <c r="E500" s="467"/>
      <c r="F500" s="467"/>
      <c r="G500" s="467"/>
      <c r="H500" s="467"/>
      <c r="I500" s="467"/>
      <c r="J500" s="467"/>
      <c r="K500" s="467"/>
      <c r="L500" s="467"/>
    </row>
    <row r="501" spans="2:12">
      <c r="B501" s="467"/>
      <c r="C501" s="467"/>
      <c r="D501" s="467"/>
      <c r="E501" s="467"/>
      <c r="F501" s="467"/>
      <c r="G501" s="467"/>
      <c r="H501" s="467"/>
      <c r="I501" s="467"/>
      <c r="J501" s="467"/>
      <c r="K501" s="467"/>
      <c r="L501" s="467"/>
    </row>
    <row r="502" spans="2:12">
      <c r="B502" s="467"/>
      <c r="C502" s="467"/>
      <c r="D502" s="467"/>
      <c r="E502" s="467"/>
      <c r="F502" s="467"/>
      <c r="G502" s="467"/>
      <c r="H502" s="467"/>
      <c r="I502" s="467"/>
      <c r="J502" s="467"/>
      <c r="K502" s="467"/>
      <c r="L502" s="467"/>
    </row>
    <row r="503" spans="2:12">
      <c r="B503" s="467"/>
      <c r="C503" s="467"/>
      <c r="D503" s="467"/>
      <c r="E503" s="467"/>
      <c r="F503" s="467"/>
      <c r="G503" s="467"/>
      <c r="H503" s="467"/>
      <c r="I503" s="467"/>
      <c r="J503" s="467"/>
      <c r="K503" s="467"/>
      <c r="L503" s="467"/>
    </row>
    <row r="504" spans="2:12">
      <c r="B504" s="467"/>
      <c r="C504" s="467"/>
      <c r="D504" s="467"/>
      <c r="E504" s="467"/>
      <c r="F504" s="467"/>
      <c r="G504" s="467"/>
      <c r="H504" s="467"/>
      <c r="I504" s="467"/>
      <c r="J504" s="467"/>
      <c r="K504" s="467"/>
      <c r="L504" s="467"/>
    </row>
    <row r="505" spans="2:12">
      <c r="B505" s="467"/>
      <c r="C505" s="467"/>
      <c r="D505" s="467"/>
      <c r="E505" s="467"/>
      <c r="F505" s="467"/>
      <c r="G505" s="467"/>
      <c r="H505" s="467"/>
      <c r="I505" s="467"/>
      <c r="J505" s="467"/>
      <c r="K505" s="467"/>
      <c r="L505" s="467"/>
    </row>
    <row r="506" spans="2:12">
      <c r="B506" s="467"/>
      <c r="C506" s="467"/>
      <c r="D506" s="467"/>
      <c r="E506" s="467"/>
      <c r="F506" s="467"/>
      <c r="G506" s="467"/>
      <c r="H506" s="467"/>
      <c r="I506" s="467"/>
      <c r="J506" s="467"/>
      <c r="K506" s="467"/>
      <c r="L506" s="467"/>
    </row>
    <row r="507" spans="2:12">
      <c r="B507" s="467"/>
      <c r="C507" s="467"/>
      <c r="D507" s="467"/>
      <c r="E507" s="467"/>
      <c r="F507" s="467"/>
      <c r="G507" s="467"/>
      <c r="H507" s="467"/>
      <c r="I507" s="467"/>
      <c r="J507" s="467"/>
      <c r="K507" s="467"/>
      <c r="L507" s="467"/>
    </row>
    <row r="508" spans="2:12">
      <c r="B508" s="467"/>
      <c r="C508" s="467"/>
      <c r="D508" s="467"/>
      <c r="E508" s="467"/>
      <c r="F508" s="467"/>
      <c r="G508" s="467"/>
      <c r="H508" s="467"/>
      <c r="I508" s="467"/>
      <c r="J508" s="467"/>
      <c r="K508" s="467"/>
      <c r="L508" s="467"/>
    </row>
    <row r="509" spans="2:12">
      <c r="B509" s="467"/>
      <c r="C509" s="467"/>
      <c r="D509" s="467"/>
      <c r="E509" s="467"/>
      <c r="F509" s="467"/>
      <c r="G509" s="467"/>
      <c r="H509" s="467"/>
      <c r="I509" s="467"/>
      <c r="J509" s="467"/>
      <c r="K509" s="467"/>
      <c r="L509" s="467"/>
    </row>
    <row r="510" spans="2:12">
      <c r="B510" s="467"/>
      <c r="C510" s="467"/>
      <c r="D510" s="467"/>
      <c r="E510" s="467"/>
      <c r="F510" s="467"/>
      <c r="G510" s="467"/>
      <c r="H510" s="467"/>
      <c r="I510" s="467"/>
      <c r="J510" s="467"/>
      <c r="K510" s="467"/>
      <c r="L510" s="467"/>
    </row>
    <row r="511" spans="2:12">
      <c r="B511" s="467"/>
      <c r="C511" s="467"/>
      <c r="D511" s="467"/>
      <c r="E511" s="467"/>
      <c r="F511" s="467"/>
      <c r="G511" s="467"/>
      <c r="H511" s="467"/>
      <c r="I511" s="467"/>
      <c r="J511" s="467"/>
      <c r="K511" s="467"/>
      <c r="L511" s="467"/>
    </row>
    <row r="512" spans="2:12">
      <c r="B512" s="467"/>
      <c r="C512" s="467"/>
      <c r="D512" s="467"/>
      <c r="E512" s="467"/>
      <c r="F512" s="467"/>
      <c r="G512" s="467"/>
      <c r="H512" s="467"/>
      <c r="I512" s="467"/>
      <c r="J512" s="467"/>
      <c r="K512" s="467"/>
      <c r="L512" s="467"/>
    </row>
    <row r="513" spans="2:12">
      <c r="B513" s="467"/>
      <c r="C513" s="467"/>
      <c r="D513" s="467"/>
      <c r="E513" s="467"/>
      <c r="F513" s="467"/>
      <c r="G513" s="467"/>
      <c r="H513" s="467"/>
      <c r="I513" s="467"/>
      <c r="J513" s="467"/>
      <c r="K513" s="467"/>
      <c r="L513" s="467"/>
    </row>
    <row r="514" spans="2:12">
      <c r="B514" s="467"/>
      <c r="C514" s="467"/>
      <c r="D514" s="467"/>
      <c r="E514" s="467"/>
      <c r="F514" s="467"/>
      <c r="G514" s="467"/>
      <c r="H514" s="467"/>
      <c r="I514" s="467"/>
      <c r="J514" s="467"/>
      <c r="K514" s="467"/>
      <c r="L514" s="467"/>
    </row>
    <row r="515" spans="2:12">
      <c r="B515" s="467"/>
      <c r="C515" s="467"/>
      <c r="D515" s="467"/>
      <c r="E515" s="467"/>
      <c r="F515" s="467"/>
      <c r="G515" s="467"/>
      <c r="H515" s="467"/>
      <c r="I515" s="467"/>
      <c r="J515" s="467"/>
      <c r="K515" s="467"/>
      <c r="L515" s="467"/>
    </row>
    <row r="516" spans="2:12">
      <c r="B516" s="467"/>
      <c r="C516" s="467"/>
      <c r="D516" s="467"/>
      <c r="E516" s="467"/>
      <c r="F516" s="467"/>
      <c r="G516" s="467"/>
      <c r="H516" s="467"/>
      <c r="I516" s="467"/>
      <c r="J516" s="467"/>
      <c r="K516" s="467"/>
      <c r="L516" s="467"/>
    </row>
    <row r="517" spans="2:12">
      <c r="B517" s="467"/>
      <c r="C517" s="467"/>
      <c r="D517" s="467"/>
      <c r="E517" s="467"/>
      <c r="F517" s="467"/>
      <c r="G517" s="467"/>
      <c r="H517" s="467"/>
      <c r="I517" s="467"/>
      <c r="J517" s="467"/>
      <c r="K517" s="467"/>
      <c r="L517" s="467"/>
    </row>
    <row r="518" spans="2:12">
      <c r="B518" s="467"/>
      <c r="C518" s="467"/>
      <c r="D518" s="467"/>
      <c r="E518" s="467"/>
      <c r="F518" s="467"/>
      <c r="G518" s="467"/>
      <c r="H518" s="467"/>
      <c r="I518" s="467"/>
      <c r="J518" s="467"/>
      <c r="K518" s="467"/>
      <c r="L518" s="467"/>
    </row>
    <row r="519" spans="2:12">
      <c r="B519" s="467"/>
      <c r="C519" s="467"/>
      <c r="D519" s="467"/>
      <c r="E519" s="467"/>
      <c r="F519" s="467"/>
      <c r="G519" s="467"/>
      <c r="H519" s="467"/>
      <c r="I519" s="467"/>
      <c r="J519" s="467"/>
      <c r="K519" s="467"/>
      <c r="L519" s="467"/>
    </row>
    <row r="520" spans="2:12">
      <c r="B520" s="467"/>
      <c r="C520" s="467"/>
      <c r="D520" s="467"/>
      <c r="E520" s="467"/>
      <c r="F520" s="467"/>
      <c r="G520" s="467"/>
      <c r="H520" s="467"/>
      <c r="I520" s="467"/>
      <c r="J520" s="467"/>
      <c r="K520" s="467"/>
      <c r="L520" s="467"/>
    </row>
    <row r="521" spans="2:12">
      <c r="B521" s="467"/>
      <c r="C521" s="467"/>
      <c r="D521" s="467"/>
      <c r="E521" s="467"/>
      <c r="F521" s="467"/>
      <c r="G521" s="467"/>
      <c r="H521" s="467"/>
      <c r="I521" s="467"/>
      <c r="J521" s="467"/>
      <c r="K521" s="467"/>
      <c r="L521" s="467"/>
    </row>
    <row r="522" spans="2:12">
      <c r="B522" s="467"/>
      <c r="C522" s="467"/>
      <c r="D522" s="467"/>
      <c r="E522" s="467"/>
      <c r="F522" s="467"/>
      <c r="G522" s="467"/>
      <c r="H522" s="467"/>
      <c r="I522" s="467"/>
      <c r="J522" s="467"/>
      <c r="K522" s="467"/>
      <c r="L522" s="467"/>
    </row>
    <row r="523" spans="2:12">
      <c r="B523" s="467"/>
      <c r="C523" s="467"/>
      <c r="D523" s="467"/>
      <c r="E523" s="467"/>
      <c r="F523" s="467"/>
      <c r="G523" s="467"/>
      <c r="H523" s="467"/>
      <c r="I523" s="467"/>
      <c r="J523" s="467"/>
      <c r="K523" s="467"/>
      <c r="L523" s="467"/>
    </row>
    <row r="524" spans="2:12">
      <c r="B524" s="467"/>
      <c r="C524" s="467"/>
      <c r="D524" s="467"/>
      <c r="E524" s="467"/>
      <c r="F524" s="467"/>
      <c r="G524" s="467"/>
      <c r="H524" s="467"/>
      <c r="I524" s="467"/>
      <c r="J524" s="467"/>
      <c r="K524" s="467"/>
      <c r="L524" s="467"/>
    </row>
    <row r="525" spans="2:12">
      <c r="B525" s="467"/>
      <c r="C525" s="467"/>
      <c r="D525" s="467"/>
      <c r="E525" s="467"/>
      <c r="F525" s="467"/>
      <c r="G525" s="467"/>
      <c r="H525" s="467"/>
      <c r="I525" s="467"/>
      <c r="J525" s="467"/>
      <c r="K525" s="467"/>
      <c r="L525" s="467"/>
    </row>
    <row r="526" spans="2:12">
      <c r="B526" s="467"/>
      <c r="C526" s="467"/>
      <c r="D526" s="467"/>
      <c r="E526" s="467"/>
      <c r="F526" s="467"/>
      <c r="G526" s="467"/>
      <c r="H526" s="467"/>
      <c r="I526" s="467"/>
      <c r="J526" s="467"/>
      <c r="K526" s="467"/>
      <c r="L526" s="467"/>
    </row>
    <row r="527" spans="2:12">
      <c r="B527" s="467"/>
      <c r="C527" s="467"/>
      <c r="D527" s="467"/>
      <c r="E527" s="467"/>
      <c r="F527" s="467"/>
      <c r="G527" s="467"/>
      <c r="H527" s="467"/>
      <c r="I527" s="467"/>
      <c r="J527" s="467"/>
      <c r="K527" s="467"/>
      <c r="L527" s="467"/>
    </row>
    <row r="528" spans="2:12">
      <c r="B528" s="467"/>
      <c r="C528" s="467"/>
      <c r="D528" s="467"/>
      <c r="E528" s="467"/>
      <c r="F528" s="467"/>
      <c r="G528" s="467"/>
      <c r="H528" s="467"/>
      <c r="I528" s="467"/>
      <c r="J528" s="467"/>
      <c r="K528" s="467"/>
      <c r="L528" s="467"/>
    </row>
    <row r="529" spans="2:12">
      <c r="B529" s="467"/>
      <c r="C529" s="467"/>
      <c r="D529" s="467"/>
      <c r="E529" s="467"/>
      <c r="F529" s="467"/>
      <c r="G529" s="467"/>
      <c r="H529" s="467"/>
      <c r="I529" s="467"/>
      <c r="J529" s="467"/>
      <c r="K529" s="467"/>
      <c r="L529" s="467"/>
    </row>
    <row r="530" spans="2:12">
      <c r="B530" s="467"/>
      <c r="C530" s="467"/>
      <c r="D530" s="467"/>
      <c r="E530" s="467"/>
      <c r="F530" s="467"/>
      <c r="G530" s="467"/>
      <c r="H530" s="467"/>
      <c r="I530" s="467"/>
      <c r="J530" s="467"/>
      <c r="K530" s="467"/>
      <c r="L530" s="467"/>
    </row>
    <row r="531" spans="2:12">
      <c r="B531" s="467"/>
      <c r="C531" s="467"/>
      <c r="D531" s="467"/>
      <c r="E531" s="467"/>
      <c r="F531" s="467"/>
      <c r="G531" s="467"/>
      <c r="H531" s="467"/>
      <c r="I531" s="467"/>
      <c r="J531" s="467"/>
      <c r="K531" s="467"/>
      <c r="L531" s="467"/>
    </row>
    <row r="532" spans="2:12">
      <c r="B532" s="467"/>
      <c r="C532" s="467"/>
      <c r="D532" s="467"/>
      <c r="E532" s="467"/>
      <c r="F532" s="467"/>
      <c r="G532" s="467"/>
      <c r="H532" s="467"/>
      <c r="I532" s="467"/>
      <c r="J532" s="467"/>
      <c r="K532" s="467"/>
      <c r="L532" s="467"/>
    </row>
    <row r="533" spans="2:12">
      <c r="B533" s="467"/>
      <c r="C533" s="467"/>
      <c r="D533" s="467"/>
      <c r="E533" s="467"/>
      <c r="F533" s="467"/>
      <c r="G533" s="467"/>
      <c r="H533" s="467"/>
      <c r="I533" s="467"/>
      <c r="J533" s="467"/>
      <c r="K533" s="467"/>
      <c r="L533" s="467"/>
    </row>
    <row r="534" spans="2:12">
      <c r="B534" s="467"/>
      <c r="C534" s="467"/>
      <c r="D534" s="467"/>
      <c r="E534" s="467"/>
      <c r="F534" s="467"/>
      <c r="G534" s="467"/>
      <c r="H534" s="467"/>
      <c r="I534" s="467"/>
      <c r="J534" s="467"/>
      <c r="K534" s="467"/>
      <c r="L534" s="467"/>
    </row>
    <row r="535" spans="2:12">
      <c r="B535" s="467"/>
      <c r="C535" s="467"/>
      <c r="D535" s="467"/>
      <c r="E535" s="467"/>
      <c r="F535" s="467"/>
      <c r="G535" s="467"/>
      <c r="H535" s="467"/>
      <c r="I535" s="467"/>
      <c r="J535" s="467"/>
      <c r="K535" s="467"/>
      <c r="L535" s="467"/>
    </row>
    <row r="536" spans="2:12">
      <c r="B536" s="467"/>
      <c r="C536" s="467"/>
      <c r="D536" s="467"/>
      <c r="E536" s="467"/>
      <c r="F536" s="467"/>
      <c r="G536" s="467"/>
      <c r="H536" s="467"/>
      <c r="I536" s="467"/>
      <c r="J536" s="467"/>
      <c r="K536" s="467"/>
      <c r="L536" s="467"/>
    </row>
    <row r="537" spans="2:12">
      <c r="B537" s="467"/>
      <c r="C537" s="467"/>
      <c r="D537" s="467"/>
      <c r="E537" s="467"/>
      <c r="F537" s="467"/>
      <c r="G537" s="467"/>
      <c r="H537" s="467"/>
      <c r="I537" s="467"/>
      <c r="J537" s="467"/>
      <c r="K537" s="467"/>
      <c r="L537" s="467"/>
    </row>
    <row r="538" spans="2:12">
      <c r="B538" s="467"/>
      <c r="C538" s="467"/>
      <c r="D538" s="467"/>
      <c r="E538" s="467"/>
      <c r="F538" s="467"/>
      <c r="G538" s="467"/>
      <c r="H538" s="467"/>
      <c r="I538" s="467"/>
      <c r="J538" s="467"/>
      <c r="K538" s="467"/>
      <c r="L538" s="467"/>
    </row>
    <row r="539" spans="2:12">
      <c r="B539" s="467"/>
      <c r="C539" s="467"/>
      <c r="D539" s="467"/>
      <c r="E539" s="467"/>
      <c r="F539" s="467"/>
      <c r="G539" s="467"/>
      <c r="H539" s="467"/>
      <c r="I539" s="467"/>
      <c r="J539" s="467"/>
      <c r="K539" s="467"/>
      <c r="L539" s="467"/>
    </row>
    <row r="540" spans="2:12">
      <c r="B540" s="467"/>
      <c r="C540" s="467"/>
      <c r="D540" s="467"/>
      <c r="E540" s="467"/>
      <c r="F540" s="467"/>
      <c r="G540" s="467"/>
      <c r="H540" s="467"/>
      <c r="I540" s="467"/>
      <c r="J540" s="467"/>
      <c r="K540" s="467"/>
      <c r="L540" s="467"/>
    </row>
    <row r="541" spans="2:12">
      <c r="B541" s="467"/>
      <c r="C541" s="467"/>
      <c r="D541" s="467"/>
      <c r="E541" s="467"/>
      <c r="F541" s="467"/>
      <c r="G541" s="467"/>
      <c r="H541" s="467"/>
      <c r="I541" s="467"/>
      <c r="J541" s="467"/>
      <c r="K541" s="467"/>
      <c r="L541" s="467"/>
    </row>
    <row r="542" spans="2:12">
      <c r="B542" s="467"/>
      <c r="C542" s="467"/>
      <c r="D542" s="467"/>
      <c r="E542" s="467"/>
      <c r="F542" s="467"/>
      <c r="G542" s="467"/>
      <c r="H542" s="467"/>
      <c r="I542" s="467"/>
      <c r="J542" s="467"/>
      <c r="K542" s="467"/>
      <c r="L542" s="467"/>
    </row>
    <row r="543" spans="2:12">
      <c r="B543" s="467"/>
      <c r="C543" s="467"/>
      <c r="D543" s="467"/>
      <c r="E543" s="467"/>
      <c r="F543" s="467"/>
      <c r="G543" s="467"/>
      <c r="H543" s="467"/>
      <c r="I543" s="467"/>
      <c r="J543" s="467"/>
      <c r="K543" s="467"/>
      <c r="L543" s="467"/>
    </row>
    <row r="544" spans="2:12">
      <c r="B544" s="467"/>
      <c r="C544" s="467"/>
      <c r="D544" s="467"/>
      <c r="E544" s="467"/>
      <c r="F544" s="467"/>
      <c r="G544" s="467"/>
      <c r="H544" s="467"/>
      <c r="I544" s="467"/>
      <c r="J544" s="467"/>
      <c r="K544" s="467"/>
      <c r="L544" s="467"/>
    </row>
    <row r="545" spans="2:12">
      <c r="B545" s="467"/>
      <c r="C545" s="467"/>
      <c r="D545" s="467"/>
      <c r="E545" s="467"/>
      <c r="F545" s="467"/>
      <c r="G545" s="467"/>
      <c r="H545" s="467"/>
      <c r="I545" s="467"/>
      <c r="J545" s="467"/>
      <c r="K545" s="467"/>
      <c r="L545" s="467"/>
    </row>
    <row r="546" spans="2:12">
      <c r="B546" s="467"/>
      <c r="C546" s="467"/>
      <c r="D546" s="467"/>
      <c r="E546" s="467"/>
      <c r="F546" s="467"/>
      <c r="G546" s="467"/>
      <c r="H546" s="467"/>
      <c r="I546" s="467"/>
      <c r="J546" s="467"/>
      <c r="K546" s="467"/>
      <c r="L546" s="467"/>
    </row>
    <row r="547" spans="2:12">
      <c r="B547" s="467"/>
      <c r="C547" s="467"/>
      <c r="D547" s="467"/>
      <c r="E547" s="467"/>
      <c r="F547" s="467"/>
      <c r="G547" s="467"/>
      <c r="H547" s="467"/>
      <c r="I547" s="467"/>
      <c r="J547" s="467"/>
      <c r="K547" s="467"/>
      <c r="L547" s="467"/>
    </row>
    <row r="548" spans="2:12">
      <c r="B548" s="467"/>
      <c r="C548" s="467"/>
      <c r="D548" s="467"/>
      <c r="E548" s="467"/>
      <c r="F548" s="467"/>
      <c r="G548" s="467"/>
      <c r="H548" s="467"/>
      <c r="I548" s="467"/>
      <c r="J548" s="467"/>
      <c r="K548" s="467"/>
      <c r="L548" s="467"/>
    </row>
    <row r="549" spans="2:12">
      <c r="B549" s="467"/>
      <c r="C549" s="467"/>
      <c r="D549" s="467"/>
      <c r="E549" s="467"/>
      <c r="F549" s="467"/>
      <c r="G549" s="467"/>
      <c r="H549" s="467"/>
      <c r="I549" s="467"/>
      <c r="J549" s="467"/>
      <c r="K549" s="467"/>
      <c r="L549" s="467"/>
    </row>
    <row r="550" spans="2:12">
      <c r="B550" s="467"/>
      <c r="C550" s="467"/>
      <c r="D550" s="467"/>
      <c r="E550" s="467"/>
      <c r="F550" s="467"/>
      <c r="G550" s="467"/>
      <c r="H550" s="467"/>
      <c r="I550" s="467"/>
      <c r="J550" s="467"/>
      <c r="K550" s="467"/>
      <c r="L550" s="467"/>
    </row>
    <row r="551" spans="2:12">
      <c r="B551" s="467"/>
      <c r="C551" s="467"/>
      <c r="D551" s="467"/>
      <c r="E551" s="467"/>
      <c r="F551" s="467"/>
      <c r="G551" s="467"/>
      <c r="H551" s="467"/>
      <c r="I551" s="467"/>
      <c r="J551" s="467"/>
      <c r="K551" s="467"/>
      <c r="L551" s="467"/>
    </row>
    <row r="552" spans="2:12">
      <c r="B552" s="467"/>
      <c r="C552" s="467"/>
      <c r="D552" s="467"/>
      <c r="E552" s="467"/>
      <c r="F552" s="467"/>
      <c r="G552" s="467"/>
      <c r="H552" s="467"/>
      <c r="I552" s="467"/>
      <c r="J552" s="467"/>
      <c r="K552" s="467"/>
      <c r="L552" s="467"/>
    </row>
    <row r="553" spans="2:12">
      <c r="B553" s="467"/>
      <c r="C553" s="467"/>
      <c r="D553" s="467"/>
      <c r="E553" s="467"/>
      <c r="F553" s="467"/>
      <c r="G553" s="467"/>
      <c r="H553" s="467"/>
      <c r="I553" s="467"/>
      <c r="J553" s="467"/>
      <c r="K553" s="467"/>
      <c r="L553" s="467"/>
    </row>
    <row r="554" spans="2:12">
      <c r="B554" s="467"/>
      <c r="C554" s="467"/>
      <c r="D554" s="467"/>
      <c r="E554" s="467"/>
      <c r="F554" s="467"/>
      <c r="G554" s="467"/>
      <c r="H554" s="467"/>
      <c r="I554" s="467"/>
      <c r="J554" s="467"/>
      <c r="K554" s="467"/>
      <c r="L554" s="467"/>
    </row>
    <row r="555" spans="2:12">
      <c r="B555" s="467"/>
      <c r="C555" s="467"/>
      <c r="D555" s="467"/>
      <c r="E555" s="467"/>
      <c r="F555" s="467"/>
      <c r="G555" s="467"/>
      <c r="H555" s="467"/>
      <c r="I555" s="467"/>
      <c r="J555" s="467"/>
      <c r="K555" s="467"/>
      <c r="L555" s="467"/>
    </row>
    <row r="556" spans="2:12">
      <c r="B556" s="467"/>
      <c r="C556" s="467"/>
      <c r="D556" s="467"/>
      <c r="E556" s="467"/>
      <c r="F556" s="467"/>
      <c r="G556" s="467"/>
      <c r="H556" s="467"/>
      <c r="I556" s="467"/>
      <c r="J556" s="467"/>
      <c r="K556" s="467"/>
      <c r="L556" s="467"/>
    </row>
    <row r="557" spans="2:12">
      <c r="B557" s="467"/>
      <c r="C557" s="467"/>
      <c r="D557" s="467"/>
      <c r="E557" s="467"/>
      <c r="F557" s="467"/>
      <c r="G557" s="467"/>
      <c r="H557" s="467"/>
      <c r="I557" s="467"/>
      <c r="J557" s="467"/>
      <c r="K557" s="467"/>
      <c r="L557" s="467"/>
    </row>
    <row r="558" spans="2:12">
      <c r="B558" s="467"/>
      <c r="C558" s="467"/>
      <c r="D558" s="467"/>
      <c r="E558" s="467"/>
      <c r="F558" s="467"/>
      <c r="G558" s="467"/>
      <c r="H558" s="467"/>
      <c r="I558" s="467"/>
      <c r="J558" s="467"/>
      <c r="K558" s="467"/>
      <c r="L558" s="467"/>
    </row>
    <row r="559" spans="2:12">
      <c r="B559" s="467"/>
      <c r="C559" s="467"/>
      <c r="D559" s="467"/>
      <c r="E559" s="467"/>
      <c r="F559" s="467"/>
      <c r="G559" s="467"/>
      <c r="H559" s="467"/>
      <c r="I559" s="467"/>
      <c r="J559" s="467"/>
      <c r="K559" s="467"/>
      <c r="L559" s="467"/>
    </row>
    <row r="560" spans="2:12">
      <c r="B560" s="467"/>
      <c r="C560" s="467"/>
      <c r="D560" s="467"/>
      <c r="E560" s="467"/>
      <c r="F560" s="467"/>
      <c r="G560" s="467"/>
      <c r="H560" s="467"/>
      <c r="I560" s="467"/>
      <c r="J560" s="467"/>
      <c r="K560" s="467"/>
      <c r="L560" s="467"/>
    </row>
    <row r="561" spans="2:12">
      <c r="B561" s="467"/>
      <c r="C561" s="467"/>
      <c r="D561" s="467"/>
      <c r="E561" s="467"/>
      <c r="F561" s="467"/>
      <c r="G561" s="467"/>
      <c r="H561" s="467"/>
      <c r="I561" s="467"/>
      <c r="J561" s="467"/>
      <c r="K561" s="467"/>
      <c r="L561" s="467"/>
    </row>
    <row r="562" spans="2:12">
      <c r="B562" s="467"/>
      <c r="C562" s="467"/>
      <c r="D562" s="467"/>
      <c r="E562" s="467"/>
      <c r="F562" s="467"/>
      <c r="G562" s="467"/>
      <c r="H562" s="467"/>
      <c r="I562" s="467"/>
      <c r="J562" s="467"/>
      <c r="K562" s="467"/>
      <c r="L562" s="467"/>
    </row>
    <row r="563" spans="2:12">
      <c r="B563" s="467"/>
      <c r="C563" s="467"/>
      <c r="D563" s="467"/>
      <c r="E563" s="467"/>
      <c r="F563" s="467"/>
      <c r="G563" s="467"/>
      <c r="H563" s="467"/>
      <c r="I563" s="467"/>
      <c r="J563" s="467"/>
      <c r="K563" s="467"/>
      <c r="L563" s="467"/>
    </row>
    <row r="564" spans="2:12">
      <c r="B564" s="467"/>
      <c r="C564" s="467"/>
      <c r="D564" s="467"/>
      <c r="E564" s="467"/>
      <c r="F564" s="467"/>
      <c r="G564" s="467"/>
      <c r="H564" s="467"/>
      <c r="I564" s="467"/>
      <c r="J564" s="467"/>
      <c r="K564" s="467"/>
      <c r="L564" s="467"/>
    </row>
    <row r="565" spans="2:12">
      <c r="B565" s="467"/>
      <c r="C565" s="467"/>
      <c r="D565" s="467"/>
      <c r="E565" s="467"/>
      <c r="F565" s="467"/>
      <c r="G565" s="467"/>
      <c r="H565" s="467"/>
      <c r="I565" s="467"/>
      <c r="J565" s="467"/>
      <c r="K565" s="467"/>
      <c r="L565" s="467"/>
    </row>
    <row r="566" spans="2:12">
      <c r="B566" s="467"/>
      <c r="C566" s="467"/>
      <c r="D566" s="467"/>
      <c r="E566" s="467"/>
      <c r="F566" s="467"/>
      <c r="G566" s="467"/>
      <c r="H566" s="467"/>
      <c r="I566" s="467"/>
      <c r="J566" s="467"/>
      <c r="K566" s="467"/>
      <c r="L566" s="467"/>
    </row>
    <row r="567" spans="2:12">
      <c r="B567" s="467"/>
      <c r="C567" s="467"/>
      <c r="D567" s="467"/>
      <c r="E567" s="467"/>
      <c r="F567" s="467"/>
      <c r="G567" s="467"/>
      <c r="H567" s="467"/>
      <c r="I567" s="467"/>
      <c r="J567" s="467"/>
      <c r="K567" s="467"/>
      <c r="L567" s="467"/>
    </row>
    <row r="568" spans="2:12">
      <c r="B568" s="467"/>
      <c r="C568" s="467"/>
      <c r="D568" s="467"/>
      <c r="E568" s="467"/>
      <c r="F568" s="467"/>
      <c r="G568" s="467"/>
      <c r="H568" s="467"/>
      <c r="I568" s="467"/>
      <c r="J568" s="467"/>
      <c r="K568" s="467"/>
      <c r="L568" s="467"/>
    </row>
    <row r="569" spans="2:12">
      <c r="B569" s="467"/>
      <c r="C569" s="467"/>
      <c r="D569" s="467"/>
      <c r="E569" s="467"/>
      <c r="F569" s="467"/>
      <c r="G569" s="467"/>
      <c r="H569" s="467"/>
      <c r="I569" s="467"/>
      <c r="J569" s="467"/>
      <c r="K569" s="467"/>
      <c r="L569" s="467"/>
    </row>
    <row r="570" spans="2:12">
      <c r="B570" s="467"/>
      <c r="C570" s="467"/>
      <c r="D570" s="467"/>
      <c r="E570" s="467"/>
      <c r="F570" s="467"/>
      <c r="G570" s="467"/>
      <c r="H570" s="467"/>
      <c r="I570" s="467"/>
      <c r="J570" s="467"/>
      <c r="K570" s="467"/>
      <c r="L570" s="467"/>
    </row>
    <row r="571" spans="2:12">
      <c r="B571" s="467"/>
      <c r="C571" s="467"/>
      <c r="D571" s="467"/>
      <c r="E571" s="467"/>
      <c r="F571" s="467"/>
      <c r="G571" s="467"/>
      <c r="H571" s="467"/>
      <c r="I571" s="467"/>
      <c r="J571" s="467"/>
      <c r="K571" s="467"/>
      <c r="L571" s="467"/>
    </row>
    <row r="572" spans="2:12">
      <c r="B572" s="467"/>
      <c r="C572" s="467"/>
      <c r="D572" s="467"/>
      <c r="E572" s="467"/>
      <c r="F572" s="467"/>
      <c r="G572" s="467"/>
      <c r="H572" s="467"/>
      <c r="I572" s="467"/>
      <c r="J572" s="467"/>
      <c r="K572" s="467"/>
      <c r="L572" s="467"/>
    </row>
    <row r="573" spans="2:12">
      <c r="B573" s="467"/>
      <c r="C573" s="467"/>
      <c r="D573" s="467"/>
      <c r="E573" s="467"/>
      <c r="F573" s="467"/>
      <c r="G573" s="467"/>
      <c r="H573" s="467"/>
      <c r="I573" s="467"/>
      <c r="J573" s="467"/>
      <c r="K573" s="467"/>
      <c r="L573" s="467"/>
    </row>
    <row r="574" spans="2:12">
      <c r="B574" s="467"/>
      <c r="C574" s="467"/>
      <c r="D574" s="467"/>
      <c r="E574" s="467"/>
      <c r="F574" s="467"/>
      <c r="G574" s="467"/>
      <c r="H574" s="467"/>
      <c r="I574" s="467"/>
      <c r="J574" s="467"/>
      <c r="K574" s="467"/>
      <c r="L574" s="467"/>
    </row>
    <row r="575" spans="2:12">
      <c r="B575" s="467"/>
      <c r="C575" s="467"/>
      <c r="D575" s="467"/>
      <c r="E575" s="467"/>
      <c r="F575" s="467"/>
      <c r="G575" s="467"/>
      <c r="H575" s="467"/>
      <c r="I575" s="467"/>
      <c r="J575" s="467"/>
      <c r="K575" s="467"/>
      <c r="L575" s="467"/>
    </row>
    <row r="576" spans="2:12">
      <c r="B576" s="467"/>
      <c r="C576" s="467"/>
      <c r="D576" s="467"/>
      <c r="E576" s="467"/>
      <c r="F576" s="467"/>
      <c r="G576" s="467"/>
      <c r="H576" s="467"/>
      <c r="I576" s="467"/>
      <c r="J576" s="467"/>
      <c r="K576" s="467"/>
      <c r="L576" s="467"/>
    </row>
    <row r="577" spans="2:12">
      <c r="B577" s="467"/>
      <c r="C577" s="467"/>
      <c r="D577" s="467"/>
      <c r="E577" s="467"/>
      <c r="F577" s="467"/>
      <c r="G577" s="467"/>
      <c r="H577" s="467"/>
      <c r="I577" s="467"/>
      <c r="J577" s="467"/>
      <c r="K577" s="467"/>
      <c r="L577" s="467"/>
    </row>
    <row r="578" spans="2:12">
      <c r="B578" s="467"/>
      <c r="C578" s="467"/>
      <c r="D578" s="467"/>
      <c r="E578" s="467"/>
      <c r="F578" s="467"/>
      <c r="G578" s="467"/>
      <c r="H578" s="467"/>
      <c r="I578" s="467"/>
      <c r="J578" s="467"/>
      <c r="K578" s="467"/>
      <c r="L578" s="467"/>
    </row>
    <row r="579" spans="2:12">
      <c r="B579" s="467"/>
      <c r="C579" s="467"/>
      <c r="D579" s="467"/>
      <c r="E579" s="467"/>
      <c r="F579" s="467"/>
      <c r="G579" s="467"/>
      <c r="H579" s="467"/>
      <c r="I579" s="467"/>
      <c r="J579" s="467"/>
      <c r="K579" s="467"/>
      <c r="L579" s="467"/>
    </row>
    <row r="580" spans="2:12">
      <c r="B580" s="467"/>
      <c r="C580" s="467"/>
      <c r="D580" s="467"/>
      <c r="E580" s="467"/>
      <c r="F580" s="467"/>
      <c r="G580" s="467"/>
      <c r="H580" s="467"/>
      <c r="I580" s="467"/>
      <c r="J580" s="467"/>
      <c r="K580" s="467"/>
      <c r="L580" s="467"/>
    </row>
    <row r="581" spans="2:12">
      <c r="B581" s="467"/>
      <c r="C581" s="467"/>
      <c r="D581" s="467"/>
      <c r="E581" s="467"/>
      <c r="F581" s="467"/>
      <c r="G581" s="467"/>
      <c r="H581" s="467"/>
      <c r="I581" s="467"/>
      <c r="J581" s="467"/>
      <c r="K581" s="467"/>
      <c r="L581" s="467"/>
    </row>
    <row r="582" spans="2:12">
      <c r="B582" s="467"/>
      <c r="C582" s="467"/>
      <c r="D582" s="467"/>
      <c r="E582" s="467"/>
      <c r="F582" s="467"/>
      <c r="G582" s="467"/>
      <c r="H582" s="467"/>
      <c r="I582" s="467"/>
      <c r="J582" s="467"/>
      <c r="K582" s="467"/>
      <c r="L582" s="467"/>
    </row>
    <row r="583" spans="2:12">
      <c r="B583" s="467"/>
      <c r="C583" s="467"/>
      <c r="D583" s="467"/>
      <c r="E583" s="467"/>
      <c r="F583" s="467"/>
      <c r="G583" s="467"/>
      <c r="H583" s="467"/>
      <c r="I583" s="467"/>
      <c r="J583" s="467"/>
      <c r="K583" s="467"/>
      <c r="L583" s="467"/>
    </row>
    <row r="584" spans="2:12">
      <c r="B584" s="467"/>
      <c r="C584" s="467"/>
      <c r="D584" s="467"/>
      <c r="E584" s="467"/>
      <c r="F584" s="467"/>
      <c r="G584" s="467"/>
      <c r="H584" s="467"/>
      <c r="I584" s="467"/>
      <c r="J584" s="467"/>
      <c r="K584" s="467"/>
      <c r="L584" s="467"/>
    </row>
    <row r="585" spans="2:12">
      <c r="B585" s="467"/>
      <c r="C585" s="467"/>
      <c r="D585" s="467"/>
      <c r="E585" s="467"/>
      <c r="F585" s="467"/>
      <c r="G585" s="467"/>
      <c r="H585" s="467"/>
      <c r="I585" s="467"/>
      <c r="J585" s="467"/>
      <c r="K585" s="467"/>
      <c r="L585" s="467"/>
    </row>
    <row r="586" spans="2:12">
      <c r="B586" s="467"/>
      <c r="C586" s="467"/>
      <c r="D586" s="467"/>
      <c r="E586" s="467"/>
      <c r="F586" s="467"/>
      <c r="G586" s="467"/>
      <c r="H586" s="467"/>
      <c r="I586" s="467"/>
      <c r="J586" s="467"/>
      <c r="K586" s="467"/>
      <c r="L586" s="467"/>
    </row>
    <row r="587" spans="2:12">
      <c r="B587" s="467"/>
      <c r="C587" s="467"/>
      <c r="D587" s="467"/>
      <c r="E587" s="467"/>
      <c r="F587" s="467"/>
      <c r="G587" s="467"/>
      <c r="H587" s="467"/>
      <c r="I587" s="467"/>
      <c r="J587" s="467"/>
      <c r="K587" s="467"/>
      <c r="L587" s="467"/>
    </row>
    <row r="588" spans="2:12">
      <c r="B588" s="467"/>
      <c r="C588" s="467"/>
      <c r="D588" s="467"/>
      <c r="E588" s="467"/>
      <c r="F588" s="467"/>
      <c r="G588" s="467"/>
      <c r="H588" s="467"/>
      <c r="I588" s="467"/>
      <c r="J588" s="467"/>
      <c r="K588" s="467"/>
      <c r="L588" s="467"/>
    </row>
    <row r="589" spans="2:12">
      <c r="B589" s="467"/>
      <c r="C589" s="467"/>
      <c r="D589" s="467"/>
      <c r="E589" s="467"/>
      <c r="F589" s="467"/>
      <c r="G589" s="467"/>
      <c r="H589" s="467"/>
      <c r="I589" s="467"/>
      <c r="J589" s="467"/>
      <c r="K589" s="467"/>
      <c r="L589" s="467"/>
    </row>
    <row r="590" spans="2:12">
      <c r="B590" s="467"/>
      <c r="C590" s="467"/>
      <c r="D590" s="467"/>
      <c r="E590" s="467"/>
      <c r="F590" s="467"/>
      <c r="G590" s="467"/>
      <c r="H590" s="467"/>
      <c r="I590" s="467"/>
      <c r="J590" s="467"/>
      <c r="K590" s="467"/>
      <c r="L590" s="467"/>
    </row>
    <row r="591" spans="2:12">
      <c r="B591" s="467"/>
      <c r="C591" s="467"/>
      <c r="D591" s="467"/>
      <c r="E591" s="467"/>
      <c r="F591" s="467"/>
      <c r="G591" s="467"/>
      <c r="H591" s="467"/>
      <c r="I591" s="467"/>
      <c r="J591" s="467"/>
      <c r="K591" s="467"/>
      <c r="L591" s="467"/>
    </row>
    <row r="592" spans="2:12">
      <c r="B592" s="467"/>
      <c r="C592" s="467"/>
      <c r="D592" s="467"/>
      <c r="E592" s="467"/>
      <c r="F592" s="467"/>
      <c r="G592" s="467"/>
      <c r="H592" s="467"/>
      <c r="I592" s="467"/>
      <c r="J592" s="467"/>
      <c r="K592" s="467"/>
      <c r="L592" s="467"/>
    </row>
    <row r="593" spans="2:12">
      <c r="B593" s="467"/>
      <c r="C593" s="467"/>
      <c r="D593" s="467"/>
      <c r="E593" s="467"/>
      <c r="F593" s="467"/>
      <c r="G593" s="467"/>
      <c r="H593" s="467"/>
      <c r="I593" s="467"/>
      <c r="J593" s="467"/>
      <c r="K593" s="467"/>
      <c r="L593" s="467"/>
    </row>
    <row r="594" spans="2:12">
      <c r="B594" s="467"/>
      <c r="C594" s="467"/>
      <c r="D594" s="467"/>
      <c r="E594" s="467"/>
      <c r="F594" s="467"/>
      <c r="G594" s="467"/>
      <c r="H594" s="467"/>
      <c r="I594" s="467"/>
      <c r="J594" s="467"/>
      <c r="K594" s="467"/>
      <c r="L594" s="467"/>
    </row>
    <row r="595" spans="2:12">
      <c r="B595" s="467"/>
      <c r="C595" s="467"/>
      <c r="D595" s="467"/>
      <c r="E595" s="467"/>
      <c r="F595" s="467"/>
      <c r="G595" s="467"/>
      <c r="H595" s="467"/>
      <c r="I595" s="467"/>
      <c r="J595" s="467"/>
      <c r="K595" s="467"/>
      <c r="L595" s="467"/>
    </row>
    <row r="596" spans="2:12">
      <c r="B596" s="467"/>
      <c r="C596" s="467"/>
      <c r="D596" s="467"/>
      <c r="E596" s="467"/>
      <c r="F596" s="467"/>
      <c r="G596" s="467"/>
      <c r="H596" s="467"/>
      <c r="I596" s="467"/>
      <c r="J596" s="467"/>
      <c r="K596" s="467"/>
      <c r="L596" s="467"/>
    </row>
    <row r="597" spans="2:12">
      <c r="B597" s="467"/>
      <c r="C597" s="467"/>
      <c r="D597" s="467"/>
      <c r="E597" s="467"/>
      <c r="F597" s="467"/>
      <c r="G597" s="467"/>
      <c r="H597" s="467"/>
      <c r="I597" s="467"/>
      <c r="J597" s="467"/>
      <c r="K597" s="467"/>
      <c r="L597" s="467"/>
    </row>
    <row r="598" spans="2:12">
      <c r="B598" s="467"/>
      <c r="C598" s="467"/>
      <c r="D598" s="467"/>
      <c r="E598" s="467"/>
      <c r="F598" s="467"/>
      <c r="G598" s="467"/>
      <c r="H598" s="467"/>
      <c r="I598" s="467"/>
      <c r="J598" s="467"/>
      <c r="K598" s="467"/>
      <c r="L598" s="467"/>
    </row>
    <row r="599" spans="2:12">
      <c r="B599" s="467"/>
      <c r="C599" s="467"/>
      <c r="D599" s="467"/>
      <c r="E599" s="467"/>
      <c r="F599" s="467"/>
      <c r="G599" s="467"/>
      <c r="H599" s="467"/>
      <c r="I599" s="467"/>
      <c r="J599" s="467"/>
      <c r="K599" s="467"/>
      <c r="L599" s="467"/>
    </row>
    <row r="600" spans="2:12">
      <c r="B600" s="467"/>
      <c r="C600" s="467"/>
      <c r="D600" s="467"/>
      <c r="E600" s="467"/>
      <c r="F600" s="467"/>
      <c r="G600" s="467"/>
      <c r="H600" s="467"/>
      <c r="I600" s="467"/>
      <c r="J600" s="467"/>
      <c r="K600" s="467"/>
      <c r="L600" s="467"/>
    </row>
    <row r="601" spans="2:12">
      <c r="B601" s="467"/>
      <c r="C601" s="467"/>
      <c r="D601" s="467"/>
      <c r="E601" s="467"/>
      <c r="F601" s="467"/>
      <c r="G601" s="467"/>
      <c r="H601" s="467"/>
      <c r="I601" s="467"/>
      <c r="J601" s="467"/>
      <c r="K601" s="467"/>
      <c r="L601" s="467"/>
    </row>
    <row r="602" spans="2:12">
      <c r="B602" s="467"/>
      <c r="C602" s="467"/>
      <c r="D602" s="467"/>
      <c r="E602" s="467"/>
      <c r="F602" s="467"/>
      <c r="G602" s="467"/>
      <c r="H602" s="467"/>
      <c r="I602" s="467"/>
      <c r="J602" s="467"/>
      <c r="K602" s="467"/>
      <c r="L602" s="467"/>
    </row>
    <row r="603" spans="2:12">
      <c r="B603" s="467"/>
      <c r="C603" s="467"/>
      <c r="D603" s="467"/>
      <c r="E603" s="467"/>
      <c r="F603" s="467"/>
      <c r="G603" s="467"/>
      <c r="H603" s="467"/>
      <c r="I603" s="467"/>
      <c r="J603" s="467"/>
      <c r="K603" s="467"/>
      <c r="L603" s="467"/>
    </row>
    <row r="604" spans="2:12">
      <c r="B604" s="467"/>
      <c r="C604" s="467"/>
      <c r="D604" s="467"/>
      <c r="E604" s="467"/>
      <c r="F604" s="467"/>
      <c r="G604" s="467"/>
      <c r="H604" s="467"/>
      <c r="I604" s="467"/>
      <c r="J604" s="467"/>
      <c r="K604" s="467"/>
      <c r="L604" s="467"/>
    </row>
    <row r="605" spans="2:12">
      <c r="B605" s="467"/>
      <c r="C605" s="467"/>
      <c r="D605" s="467"/>
      <c r="E605" s="467"/>
      <c r="F605" s="467"/>
      <c r="G605" s="467"/>
      <c r="H605" s="467"/>
      <c r="I605" s="467"/>
      <c r="J605" s="467"/>
      <c r="K605" s="467"/>
      <c r="L605" s="467"/>
    </row>
    <row r="606" spans="2:12">
      <c r="B606" s="467"/>
      <c r="C606" s="467"/>
      <c r="D606" s="467"/>
      <c r="E606" s="467"/>
      <c r="F606" s="467"/>
      <c r="G606" s="467"/>
      <c r="H606" s="467"/>
      <c r="I606" s="467"/>
      <c r="J606" s="467"/>
      <c r="K606" s="467"/>
      <c r="L606" s="467"/>
    </row>
    <row r="607" spans="2:12">
      <c r="B607" s="467"/>
      <c r="C607" s="467"/>
      <c r="D607" s="467"/>
      <c r="E607" s="467"/>
      <c r="F607" s="467"/>
      <c r="G607" s="467"/>
      <c r="H607" s="467"/>
      <c r="I607" s="467"/>
      <c r="J607" s="467"/>
      <c r="K607" s="467"/>
      <c r="L607" s="467"/>
    </row>
    <row r="608" spans="2:12">
      <c r="B608" s="467"/>
      <c r="C608" s="467"/>
      <c r="D608" s="467"/>
      <c r="E608" s="467"/>
      <c r="F608" s="467"/>
      <c r="G608" s="467"/>
      <c r="H608" s="467"/>
      <c r="I608" s="467"/>
      <c r="J608" s="467"/>
      <c r="K608" s="467"/>
      <c r="L608" s="467"/>
    </row>
    <row r="609" spans="2:12">
      <c r="B609" s="467"/>
      <c r="C609" s="467"/>
      <c r="D609" s="467"/>
      <c r="E609" s="467"/>
      <c r="F609" s="467"/>
      <c r="G609" s="467"/>
      <c r="H609" s="467"/>
      <c r="I609" s="467"/>
      <c r="J609" s="467"/>
      <c r="K609" s="467"/>
      <c r="L609" s="467"/>
    </row>
    <row r="610" spans="2:12">
      <c r="B610" s="467"/>
      <c r="C610" s="467"/>
      <c r="D610" s="467"/>
      <c r="E610" s="467"/>
      <c r="F610" s="467"/>
      <c r="G610" s="467"/>
      <c r="H610" s="467"/>
      <c r="I610" s="467"/>
      <c r="J610" s="467"/>
      <c r="K610" s="467"/>
      <c r="L610" s="467"/>
    </row>
    <row r="611" spans="2:12">
      <c r="B611" s="467"/>
      <c r="C611" s="467"/>
      <c r="D611" s="467"/>
      <c r="E611" s="467"/>
      <c r="F611" s="467"/>
      <c r="G611" s="467"/>
      <c r="H611" s="467"/>
      <c r="I611" s="467"/>
      <c r="J611" s="467"/>
      <c r="K611" s="467"/>
      <c r="L611" s="467"/>
    </row>
    <row r="612" spans="2:12">
      <c r="B612" s="467"/>
      <c r="C612" s="467"/>
      <c r="D612" s="467"/>
      <c r="E612" s="467"/>
      <c r="F612" s="467"/>
      <c r="G612" s="467"/>
      <c r="H612" s="467"/>
      <c r="I612" s="467"/>
      <c r="J612" s="467"/>
      <c r="K612" s="467"/>
      <c r="L612" s="467"/>
    </row>
    <row r="613" spans="2:12">
      <c r="B613" s="467"/>
      <c r="C613" s="467"/>
      <c r="D613" s="467"/>
      <c r="E613" s="467"/>
      <c r="F613" s="467"/>
      <c r="G613" s="467"/>
      <c r="H613" s="467"/>
      <c r="I613" s="467"/>
      <c r="J613" s="467"/>
      <c r="K613" s="467"/>
      <c r="L613" s="467"/>
    </row>
    <row r="614" spans="2:12">
      <c r="B614" s="467"/>
      <c r="C614" s="467"/>
      <c r="D614" s="467"/>
      <c r="E614" s="467"/>
      <c r="F614" s="467"/>
      <c r="G614" s="467"/>
      <c r="H614" s="467"/>
      <c r="I614" s="467"/>
      <c r="J614" s="467"/>
      <c r="K614" s="467"/>
      <c r="L614" s="467"/>
    </row>
    <row r="615" spans="2:12">
      <c r="B615" s="467"/>
      <c r="C615" s="467"/>
      <c r="D615" s="467"/>
      <c r="E615" s="467"/>
      <c r="F615" s="467"/>
      <c r="G615" s="467"/>
      <c r="H615" s="467"/>
      <c r="I615" s="467"/>
      <c r="J615" s="467"/>
      <c r="K615" s="467"/>
      <c r="L615" s="467"/>
    </row>
    <row r="616" spans="2:12">
      <c r="B616" s="467"/>
      <c r="C616" s="467"/>
      <c r="D616" s="467"/>
      <c r="E616" s="467"/>
      <c r="F616" s="467"/>
      <c r="G616" s="467"/>
      <c r="H616" s="467"/>
      <c r="I616" s="467"/>
      <c r="J616" s="467"/>
      <c r="K616" s="467"/>
      <c r="L616" s="467"/>
    </row>
    <row r="617" spans="2:12">
      <c r="B617" s="467"/>
      <c r="C617" s="467"/>
      <c r="D617" s="467"/>
      <c r="E617" s="467"/>
      <c r="F617" s="467"/>
      <c r="G617" s="467"/>
      <c r="H617" s="467"/>
      <c r="I617" s="467"/>
      <c r="J617" s="467"/>
      <c r="K617" s="467"/>
      <c r="L617" s="467"/>
    </row>
    <row r="618" spans="2:12">
      <c r="B618" s="467"/>
      <c r="C618" s="467"/>
      <c r="D618" s="467"/>
      <c r="E618" s="467"/>
      <c r="F618" s="467"/>
      <c r="G618" s="467"/>
      <c r="H618" s="467"/>
      <c r="I618" s="467"/>
      <c r="J618" s="467"/>
      <c r="K618" s="467"/>
      <c r="L618" s="467"/>
    </row>
    <row r="619" spans="2:12">
      <c r="B619" s="467"/>
      <c r="C619" s="467"/>
      <c r="D619" s="467"/>
      <c r="E619" s="467"/>
      <c r="F619" s="467"/>
      <c r="G619" s="467"/>
      <c r="H619" s="467"/>
      <c r="I619" s="467"/>
      <c r="J619" s="467"/>
      <c r="K619" s="467"/>
      <c r="L619" s="467"/>
    </row>
    <row r="620" spans="2:12">
      <c r="B620" s="467"/>
      <c r="C620" s="467"/>
      <c r="D620" s="467"/>
      <c r="E620" s="467"/>
      <c r="F620" s="467"/>
      <c r="G620" s="467"/>
      <c r="H620" s="467"/>
      <c r="I620" s="467"/>
      <c r="J620" s="467"/>
      <c r="K620" s="467"/>
      <c r="L620" s="467"/>
    </row>
    <row r="621" spans="2:12">
      <c r="B621" s="467"/>
      <c r="C621" s="467"/>
      <c r="D621" s="467"/>
      <c r="E621" s="467"/>
      <c r="F621" s="467"/>
      <c r="G621" s="467"/>
      <c r="H621" s="467"/>
      <c r="I621" s="467"/>
      <c r="J621" s="467"/>
      <c r="K621" s="467"/>
      <c r="L621" s="467"/>
    </row>
    <row r="622" spans="2:12">
      <c r="B622" s="467"/>
      <c r="C622" s="467"/>
      <c r="D622" s="467"/>
      <c r="E622" s="467"/>
      <c r="F622" s="467"/>
      <c r="G622" s="467"/>
      <c r="H622" s="467"/>
      <c r="I622" s="467"/>
      <c r="J622" s="467"/>
      <c r="K622" s="467"/>
      <c r="L622" s="467"/>
    </row>
    <row r="623" spans="2:12">
      <c r="B623" s="467"/>
      <c r="C623" s="467"/>
      <c r="D623" s="467"/>
      <c r="E623" s="467"/>
      <c r="F623" s="467"/>
      <c r="G623" s="467"/>
      <c r="H623" s="467"/>
      <c r="I623" s="467"/>
      <c r="J623" s="467"/>
      <c r="K623" s="467"/>
      <c r="L623" s="467"/>
    </row>
    <row r="624" spans="2:12">
      <c r="B624" s="467"/>
      <c r="C624" s="467"/>
      <c r="D624" s="467"/>
      <c r="E624" s="467"/>
      <c r="F624" s="467"/>
      <c r="G624" s="467"/>
      <c r="H624" s="467"/>
      <c r="I624" s="467"/>
      <c r="J624" s="467"/>
      <c r="K624" s="467"/>
      <c r="L624" s="467"/>
    </row>
    <row r="625" spans="2:12">
      <c r="B625" s="467"/>
      <c r="C625" s="467"/>
      <c r="D625" s="467"/>
      <c r="E625" s="467"/>
      <c r="F625" s="467"/>
      <c r="G625" s="467"/>
      <c r="H625" s="467"/>
      <c r="I625" s="467"/>
      <c r="J625" s="467"/>
      <c r="K625" s="467"/>
      <c r="L625" s="467"/>
    </row>
    <row r="626" spans="2:12">
      <c r="B626" s="467"/>
      <c r="C626" s="467"/>
      <c r="D626" s="467"/>
      <c r="E626" s="467"/>
      <c r="F626" s="467"/>
      <c r="G626" s="467"/>
      <c r="H626" s="467"/>
      <c r="I626" s="467"/>
      <c r="J626" s="467"/>
      <c r="K626" s="467"/>
      <c r="L626" s="467"/>
    </row>
    <row r="627" spans="2:12">
      <c r="B627" s="467"/>
      <c r="C627" s="467"/>
      <c r="D627" s="467"/>
      <c r="E627" s="467"/>
      <c r="F627" s="467"/>
      <c r="G627" s="467"/>
      <c r="H627" s="467"/>
      <c r="I627" s="467"/>
      <c r="J627" s="467"/>
      <c r="K627" s="467"/>
      <c r="L627" s="467"/>
    </row>
    <row r="628" spans="2:12">
      <c r="B628" s="467"/>
      <c r="C628" s="467"/>
      <c r="D628" s="467"/>
      <c r="E628" s="467"/>
      <c r="F628" s="467"/>
      <c r="G628" s="467"/>
      <c r="H628" s="467"/>
      <c r="I628" s="467"/>
      <c r="J628" s="467"/>
      <c r="K628" s="467"/>
      <c r="L628" s="467"/>
    </row>
    <row r="629" spans="2:12">
      <c r="B629" s="467"/>
      <c r="C629" s="467"/>
      <c r="D629" s="467"/>
      <c r="E629" s="467"/>
      <c r="F629" s="467"/>
      <c r="G629" s="467"/>
      <c r="H629" s="467"/>
      <c r="I629" s="467"/>
      <c r="J629" s="467"/>
      <c r="K629" s="467"/>
      <c r="L629" s="467"/>
    </row>
    <row r="630" spans="2:12">
      <c r="B630" s="467"/>
      <c r="C630" s="467"/>
      <c r="D630" s="467"/>
      <c r="E630" s="467"/>
      <c r="F630" s="467"/>
      <c r="G630" s="467"/>
      <c r="H630" s="467"/>
      <c r="I630" s="467"/>
      <c r="J630" s="467"/>
      <c r="K630" s="467"/>
      <c r="L630" s="467"/>
    </row>
    <row r="631" spans="2:12">
      <c r="B631" s="467"/>
      <c r="C631" s="467"/>
      <c r="D631" s="467"/>
      <c r="E631" s="467"/>
      <c r="F631" s="467"/>
      <c r="G631" s="467"/>
      <c r="H631" s="467"/>
      <c r="I631" s="467"/>
      <c r="J631" s="467"/>
      <c r="K631" s="467"/>
      <c r="L631" s="467"/>
    </row>
    <row r="632" spans="2:12">
      <c r="B632" s="467"/>
      <c r="C632" s="467"/>
      <c r="D632" s="467"/>
      <c r="E632" s="467"/>
      <c r="F632" s="467"/>
      <c r="G632" s="467"/>
      <c r="H632" s="467"/>
      <c r="I632" s="467"/>
      <c r="J632" s="467"/>
      <c r="K632" s="467"/>
      <c r="L632" s="467"/>
    </row>
    <row r="633" spans="2:12">
      <c r="B633" s="467"/>
      <c r="C633" s="467"/>
      <c r="D633" s="467"/>
      <c r="E633" s="467"/>
      <c r="F633" s="467"/>
      <c r="G633" s="467"/>
      <c r="H633" s="467"/>
      <c r="I633" s="467"/>
      <c r="J633" s="467"/>
      <c r="K633" s="467"/>
      <c r="L633" s="467"/>
    </row>
    <row r="634" spans="2:12">
      <c r="B634" s="467"/>
      <c r="C634" s="467"/>
      <c r="D634" s="467"/>
      <c r="E634" s="467"/>
      <c r="F634" s="467"/>
      <c r="G634" s="467"/>
      <c r="H634" s="467"/>
      <c r="I634" s="467"/>
      <c r="J634" s="467"/>
      <c r="K634" s="467"/>
      <c r="L634" s="467"/>
    </row>
    <row r="635" spans="2:12">
      <c r="B635" s="467"/>
      <c r="C635" s="467"/>
      <c r="D635" s="467"/>
      <c r="E635" s="467"/>
      <c r="F635" s="467"/>
      <c r="G635" s="467"/>
      <c r="H635" s="467"/>
      <c r="I635" s="467"/>
      <c r="J635" s="467"/>
      <c r="K635" s="467"/>
      <c r="L635" s="467"/>
    </row>
    <row r="636" spans="2:12">
      <c r="B636" s="467"/>
      <c r="C636" s="467"/>
      <c r="D636" s="467"/>
      <c r="E636" s="467"/>
      <c r="F636" s="467"/>
      <c r="G636" s="467"/>
      <c r="H636" s="467"/>
      <c r="I636" s="467"/>
      <c r="J636" s="467"/>
      <c r="K636" s="467"/>
      <c r="L636" s="467"/>
    </row>
    <row r="637" spans="2:12">
      <c r="B637" s="467"/>
      <c r="C637" s="467"/>
      <c r="D637" s="467"/>
      <c r="E637" s="467"/>
      <c r="F637" s="467"/>
      <c r="G637" s="467"/>
      <c r="H637" s="467"/>
      <c r="I637" s="467"/>
      <c r="J637" s="467"/>
      <c r="K637" s="467"/>
      <c r="L637" s="467"/>
    </row>
    <row r="638" spans="2:12">
      <c r="B638" s="467"/>
      <c r="C638" s="467"/>
      <c r="D638" s="467"/>
      <c r="E638" s="467"/>
      <c r="F638" s="467"/>
      <c r="G638" s="467"/>
      <c r="H638" s="467"/>
      <c r="I638" s="467"/>
      <c r="J638" s="467"/>
      <c r="K638" s="467"/>
      <c r="L638" s="467"/>
    </row>
    <row r="639" spans="2:12">
      <c r="B639" s="467"/>
      <c r="C639" s="467"/>
      <c r="D639" s="467"/>
      <c r="E639" s="467"/>
      <c r="F639" s="467"/>
      <c r="G639" s="467"/>
      <c r="H639" s="467"/>
      <c r="I639" s="467"/>
      <c r="J639" s="467"/>
      <c r="K639" s="467"/>
      <c r="L639" s="467"/>
    </row>
    <row r="640" spans="2:12">
      <c r="B640" s="467"/>
      <c r="C640" s="467"/>
      <c r="D640" s="467"/>
      <c r="E640" s="467"/>
      <c r="F640" s="467"/>
      <c r="G640" s="467"/>
      <c r="H640" s="467"/>
      <c r="I640" s="467"/>
      <c r="J640" s="467"/>
      <c r="K640" s="467"/>
      <c r="L640" s="467"/>
    </row>
    <row r="641" spans="2:12">
      <c r="B641" s="467"/>
      <c r="C641" s="467"/>
      <c r="D641" s="467"/>
      <c r="E641" s="467"/>
      <c r="F641" s="467"/>
      <c r="G641" s="467"/>
      <c r="H641" s="467"/>
      <c r="I641" s="467"/>
      <c r="J641" s="467"/>
      <c r="K641" s="467"/>
      <c r="L641" s="467"/>
    </row>
    <row r="642" spans="2:12">
      <c r="B642" s="467"/>
      <c r="C642" s="467"/>
      <c r="D642" s="467"/>
      <c r="E642" s="467"/>
      <c r="F642" s="467"/>
      <c r="G642" s="467"/>
      <c r="H642" s="467"/>
      <c r="I642" s="467"/>
      <c r="J642" s="467"/>
      <c r="K642" s="467"/>
      <c r="L642" s="467"/>
    </row>
    <row r="643" spans="2:12">
      <c r="B643" s="467"/>
      <c r="C643" s="467"/>
      <c r="D643" s="467"/>
      <c r="E643" s="467"/>
      <c r="F643" s="467"/>
      <c r="G643" s="467"/>
      <c r="H643" s="467"/>
      <c r="I643" s="467"/>
      <c r="J643" s="467"/>
      <c r="K643" s="467"/>
      <c r="L643" s="467"/>
    </row>
    <row r="644" spans="2:12">
      <c r="B644" s="467"/>
      <c r="C644" s="467"/>
      <c r="D644" s="467"/>
      <c r="E644" s="467"/>
      <c r="F644" s="467"/>
      <c r="G644" s="467"/>
      <c r="H644" s="467"/>
      <c r="I644" s="467"/>
      <c r="J644" s="467"/>
      <c r="K644" s="467"/>
      <c r="L644" s="467"/>
    </row>
    <row r="645" spans="2:12">
      <c r="B645" s="467"/>
      <c r="C645" s="467"/>
      <c r="D645" s="467"/>
      <c r="E645" s="467"/>
      <c r="F645" s="467"/>
      <c r="G645" s="467"/>
      <c r="H645" s="467"/>
      <c r="I645" s="467"/>
      <c r="J645" s="467"/>
      <c r="K645" s="467"/>
      <c r="L645" s="467"/>
    </row>
    <row r="646" spans="2:12">
      <c r="B646" s="467"/>
      <c r="C646" s="467"/>
      <c r="D646" s="467"/>
      <c r="E646" s="467"/>
      <c r="F646" s="467"/>
      <c r="G646" s="467"/>
      <c r="H646" s="467"/>
      <c r="I646" s="467"/>
      <c r="J646" s="467"/>
      <c r="K646" s="467"/>
      <c r="L646" s="467"/>
    </row>
    <row r="647" spans="2:12">
      <c r="B647" s="467"/>
      <c r="C647" s="467"/>
      <c r="D647" s="467"/>
      <c r="E647" s="467"/>
      <c r="F647" s="467"/>
      <c r="G647" s="467"/>
      <c r="H647" s="467"/>
      <c r="I647" s="467"/>
      <c r="J647" s="467"/>
      <c r="K647" s="467"/>
      <c r="L647" s="467"/>
    </row>
    <row r="648" spans="2:12">
      <c r="B648" s="467"/>
      <c r="C648" s="467"/>
      <c r="D648" s="467"/>
      <c r="E648" s="467"/>
      <c r="F648" s="467"/>
      <c r="G648" s="467"/>
      <c r="H648" s="467"/>
      <c r="I648" s="467"/>
      <c r="J648" s="467"/>
      <c r="K648" s="467"/>
      <c r="L648" s="467"/>
    </row>
    <row r="649" spans="2:12">
      <c r="B649" s="467"/>
      <c r="C649" s="467"/>
      <c r="D649" s="467"/>
      <c r="E649" s="467"/>
      <c r="F649" s="467"/>
      <c r="G649" s="467"/>
      <c r="H649" s="467"/>
      <c r="I649" s="467"/>
      <c r="J649" s="467"/>
      <c r="K649" s="467"/>
      <c r="L649" s="467"/>
    </row>
    <row r="650" spans="2:12">
      <c r="B650" s="467"/>
      <c r="C650" s="467"/>
      <c r="D650" s="467"/>
      <c r="E650" s="467"/>
      <c r="F650" s="467"/>
      <c r="G650" s="467"/>
      <c r="H650" s="467"/>
      <c r="I650" s="467"/>
      <c r="J650" s="467"/>
      <c r="K650" s="467"/>
      <c r="L650" s="467"/>
    </row>
    <row r="651" spans="2:12">
      <c r="B651" s="467"/>
      <c r="C651" s="467"/>
      <c r="D651" s="467"/>
      <c r="E651" s="467"/>
      <c r="F651" s="467"/>
      <c r="G651" s="467"/>
      <c r="H651" s="467"/>
      <c r="I651" s="467"/>
      <c r="J651" s="467"/>
      <c r="K651" s="467"/>
      <c r="L651" s="467"/>
    </row>
    <row r="652" spans="2:12">
      <c r="B652" s="467"/>
      <c r="C652" s="467"/>
      <c r="D652" s="467"/>
      <c r="E652" s="467"/>
      <c r="F652" s="467"/>
      <c r="G652" s="467"/>
      <c r="H652" s="467"/>
      <c r="I652" s="467"/>
      <c r="J652" s="467"/>
      <c r="K652" s="467"/>
      <c r="L652" s="467"/>
    </row>
    <row r="653" spans="2:12">
      <c r="B653" s="467"/>
      <c r="C653" s="467"/>
      <c r="D653" s="467"/>
      <c r="E653" s="467"/>
      <c r="F653" s="467"/>
      <c r="G653" s="467"/>
      <c r="H653" s="467"/>
      <c r="I653" s="467"/>
      <c r="J653" s="467"/>
      <c r="K653" s="467"/>
      <c r="L653" s="467"/>
    </row>
    <row r="654" spans="2:12">
      <c r="B654" s="467"/>
      <c r="C654" s="467"/>
      <c r="D654" s="467"/>
      <c r="E654" s="467"/>
      <c r="F654" s="467"/>
      <c r="G654" s="467"/>
      <c r="H654" s="467"/>
      <c r="I654" s="467"/>
      <c r="J654" s="467"/>
      <c r="K654" s="467"/>
      <c r="L654" s="467"/>
    </row>
    <row r="655" spans="2:12">
      <c r="B655" s="467"/>
      <c r="C655" s="467"/>
      <c r="D655" s="467"/>
      <c r="E655" s="467"/>
      <c r="F655" s="467"/>
      <c r="G655" s="467"/>
      <c r="H655" s="467"/>
      <c r="I655" s="467"/>
      <c r="J655" s="467"/>
      <c r="K655" s="467"/>
      <c r="L655" s="467"/>
    </row>
    <row r="656" spans="2:12">
      <c r="B656" s="467"/>
      <c r="C656" s="467"/>
      <c r="D656" s="467"/>
      <c r="E656" s="467"/>
      <c r="F656" s="467"/>
      <c r="G656" s="467"/>
      <c r="H656" s="467"/>
      <c r="I656" s="467"/>
      <c r="J656" s="467"/>
      <c r="K656" s="467"/>
      <c r="L656" s="467"/>
    </row>
    <row r="657" spans="2:12">
      <c r="B657" s="467"/>
      <c r="C657" s="467"/>
      <c r="D657" s="467"/>
      <c r="E657" s="467"/>
      <c r="F657" s="467"/>
      <c r="G657" s="467"/>
      <c r="H657" s="467"/>
      <c r="I657" s="467"/>
      <c r="J657" s="467"/>
      <c r="K657" s="467"/>
      <c r="L657" s="467"/>
    </row>
    <row r="658" spans="2:12">
      <c r="B658" s="467"/>
      <c r="C658" s="467"/>
      <c r="D658" s="467"/>
      <c r="E658" s="467"/>
      <c r="F658" s="467"/>
      <c r="G658" s="467"/>
      <c r="H658" s="467"/>
      <c r="I658" s="467"/>
      <c r="J658" s="467"/>
      <c r="K658" s="467"/>
      <c r="L658" s="467"/>
    </row>
    <row r="659" spans="2:12">
      <c r="B659" s="467"/>
      <c r="C659" s="467"/>
      <c r="D659" s="467"/>
      <c r="E659" s="467"/>
      <c r="F659" s="467"/>
      <c r="G659" s="467"/>
      <c r="H659" s="467"/>
      <c r="I659" s="467"/>
      <c r="J659" s="467"/>
      <c r="K659" s="467"/>
      <c r="L659" s="467"/>
    </row>
    <row r="660" spans="2:12">
      <c r="B660" s="467"/>
      <c r="C660" s="467"/>
      <c r="D660" s="467"/>
      <c r="E660" s="467"/>
      <c r="F660" s="467"/>
      <c r="G660" s="467"/>
      <c r="H660" s="467"/>
      <c r="I660" s="467"/>
      <c r="J660" s="467"/>
      <c r="K660" s="467"/>
      <c r="L660" s="467"/>
    </row>
    <row r="661" spans="2:12">
      <c r="B661" s="467"/>
      <c r="C661" s="467"/>
      <c r="D661" s="467"/>
      <c r="E661" s="467"/>
      <c r="F661" s="467"/>
      <c r="G661" s="467"/>
      <c r="H661" s="467"/>
      <c r="I661" s="467"/>
      <c r="J661" s="467"/>
      <c r="K661" s="467"/>
      <c r="L661" s="467"/>
    </row>
    <row r="662" spans="2:12">
      <c r="B662" s="467"/>
      <c r="C662" s="467"/>
      <c r="D662" s="467"/>
      <c r="E662" s="467"/>
      <c r="F662" s="467"/>
      <c r="G662" s="467"/>
      <c r="H662" s="467"/>
      <c r="I662" s="467"/>
      <c r="J662" s="467"/>
      <c r="K662" s="467"/>
      <c r="L662" s="467"/>
    </row>
    <row r="663" spans="2:12">
      <c r="B663" s="467"/>
      <c r="C663" s="467"/>
      <c r="D663" s="467"/>
      <c r="E663" s="467"/>
      <c r="F663" s="467"/>
      <c r="G663" s="467"/>
      <c r="H663" s="467"/>
      <c r="I663" s="467"/>
      <c r="J663" s="467"/>
      <c r="K663" s="467"/>
      <c r="L663" s="467"/>
    </row>
    <row r="664" spans="2:12">
      <c r="B664" s="467"/>
      <c r="C664" s="467"/>
      <c r="D664" s="467"/>
      <c r="E664" s="467"/>
      <c r="F664" s="467"/>
      <c r="G664" s="467"/>
      <c r="H664" s="467"/>
      <c r="I664" s="467"/>
      <c r="J664" s="467"/>
      <c r="K664" s="467"/>
      <c r="L664" s="467"/>
    </row>
    <row r="665" spans="2:12">
      <c r="B665" s="467"/>
      <c r="C665" s="467"/>
      <c r="D665" s="467"/>
      <c r="E665" s="467"/>
      <c r="F665" s="467"/>
      <c r="G665" s="467"/>
      <c r="H665" s="467"/>
      <c r="I665" s="467"/>
      <c r="J665" s="467"/>
      <c r="K665" s="467"/>
      <c r="L665" s="467"/>
    </row>
    <row r="666" spans="2:12">
      <c r="B666" s="467"/>
      <c r="C666" s="467"/>
      <c r="D666" s="467"/>
      <c r="E666" s="467"/>
      <c r="F666" s="467"/>
      <c r="G666" s="467"/>
      <c r="H666" s="467"/>
      <c r="I666" s="467"/>
      <c r="J666" s="467"/>
      <c r="K666" s="467"/>
      <c r="L666" s="467"/>
    </row>
    <row r="667" spans="2:12">
      <c r="B667" s="467"/>
      <c r="C667" s="467"/>
      <c r="D667" s="467"/>
      <c r="E667" s="467"/>
      <c r="F667" s="467"/>
      <c r="G667" s="467"/>
      <c r="H667" s="467"/>
      <c r="I667" s="467"/>
      <c r="J667" s="467"/>
      <c r="K667" s="467"/>
      <c r="L667" s="467"/>
    </row>
    <row r="668" spans="2:12">
      <c r="B668" s="467"/>
      <c r="C668" s="467"/>
      <c r="D668" s="467"/>
      <c r="E668" s="467"/>
      <c r="F668" s="467"/>
      <c r="G668" s="467"/>
      <c r="H668" s="467"/>
      <c r="I668" s="467"/>
      <c r="J668" s="467"/>
      <c r="K668" s="467"/>
      <c r="L668" s="467"/>
    </row>
    <row r="669" spans="2:12">
      <c r="B669" s="467"/>
      <c r="C669" s="467"/>
      <c r="D669" s="467"/>
      <c r="E669" s="467"/>
      <c r="F669" s="467"/>
      <c r="G669" s="467"/>
      <c r="H669" s="467"/>
      <c r="I669" s="467"/>
      <c r="J669" s="467"/>
      <c r="K669" s="467"/>
      <c r="L669" s="467"/>
    </row>
    <row r="670" spans="2:12">
      <c r="B670" s="467"/>
      <c r="C670" s="467"/>
      <c r="D670" s="467"/>
      <c r="E670" s="467"/>
      <c r="F670" s="467"/>
      <c r="G670" s="467"/>
      <c r="H670" s="467"/>
      <c r="I670" s="467"/>
      <c r="J670" s="467"/>
      <c r="K670" s="467"/>
      <c r="L670" s="467"/>
    </row>
    <row r="671" spans="2:12">
      <c r="B671" s="467"/>
      <c r="C671" s="467"/>
      <c r="D671" s="467"/>
      <c r="E671" s="467"/>
      <c r="F671" s="467"/>
      <c r="G671" s="467"/>
      <c r="H671" s="467"/>
      <c r="I671" s="467"/>
      <c r="J671" s="467"/>
      <c r="K671" s="467"/>
      <c r="L671" s="467"/>
    </row>
    <row r="672" spans="2:12">
      <c r="B672" s="467"/>
      <c r="C672" s="467"/>
      <c r="D672" s="467"/>
      <c r="E672" s="467"/>
      <c r="F672" s="467"/>
      <c r="G672" s="467"/>
      <c r="H672" s="467"/>
      <c r="I672" s="467"/>
      <c r="J672" s="467"/>
      <c r="K672" s="467"/>
      <c r="L672" s="467"/>
    </row>
    <row r="673" spans="2:12">
      <c r="B673" s="467"/>
      <c r="C673" s="467"/>
      <c r="D673" s="467"/>
      <c r="E673" s="467"/>
      <c r="F673" s="467"/>
      <c r="G673" s="467"/>
      <c r="H673" s="467"/>
      <c r="I673" s="467"/>
      <c r="J673" s="467"/>
      <c r="K673" s="467"/>
      <c r="L673" s="467"/>
    </row>
    <row r="674" spans="2:12">
      <c r="B674" s="467"/>
      <c r="C674" s="467"/>
      <c r="D674" s="467"/>
      <c r="E674" s="467"/>
      <c r="F674" s="467"/>
      <c r="G674" s="467"/>
      <c r="H674" s="467"/>
      <c r="I674" s="467"/>
      <c r="J674" s="467"/>
      <c r="K674" s="467"/>
      <c r="L674" s="467"/>
    </row>
    <row r="675" spans="2:12">
      <c r="B675" s="467"/>
      <c r="C675" s="467"/>
      <c r="D675" s="467"/>
      <c r="E675" s="467"/>
      <c r="F675" s="467"/>
      <c r="G675" s="467"/>
      <c r="H675" s="467"/>
      <c r="I675" s="467"/>
      <c r="J675" s="467"/>
      <c r="K675" s="467"/>
      <c r="L675" s="467"/>
    </row>
    <row r="676" spans="2:12">
      <c r="B676" s="467"/>
      <c r="C676" s="467"/>
      <c r="D676" s="467"/>
      <c r="E676" s="467"/>
      <c r="F676" s="467"/>
      <c r="G676" s="467"/>
      <c r="H676" s="467"/>
      <c r="I676" s="467"/>
      <c r="J676" s="467"/>
      <c r="K676" s="467"/>
      <c r="L676" s="467"/>
    </row>
    <row r="677" spans="2:12">
      <c r="B677" s="467"/>
      <c r="C677" s="467"/>
      <c r="D677" s="467"/>
      <c r="E677" s="467"/>
      <c r="F677" s="467"/>
      <c r="G677" s="467"/>
      <c r="H677" s="467"/>
      <c r="I677" s="467"/>
      <c r="J677" s="467"/>
      <c r="K677" s="467"/>
      <c r="L677" s="467"/>
    </row>
    <row r="678" spans="2:12">
      <c r="B678" s="467"/>
      <c r="C678" s="467"/>
      <c r="D678" s="467"/>
      <c r="E678" s="467"/>
      <c r="F678" s="467"/>
      <c r="G678" s="467"/>
      <c r="H678" s="467"/>
      <c r="I678" s="467"/>
      <c r="J678" s="467"/>
      <c r="K678" s="467"/>
      <c r="L678" s="467"/>
    </row>
    <row r="679" spans="2:12">
      <c r="B679" s="467"/>
      <c r="C679" s="467"/>
      <c r="D679" s="467"/>
      <c r="E679" s="467"/>
      <c r="F679" s="467"/>
      <c r="G679" s="467"/>
      <c r="H679" s="467"/>
      <c r="I679" s="467"/>
      <c r="J679" s="467"/>
      <c r="K679" s="467"/>
      <c r="L679" s="467"/>
    </row>
    <row r="680" spans="2:12">
      <c r="B680" s="467"/>
      <c r="C680" s="467"/>
      <c r="D680" s="467"/>
      <c r="E680" s="467"/>
      <c r="F680" s="467"/>
      <c r="G680" s="467"/>
      <c r="H680" s="467"/>
      <c r="I680" s="467"/>
      <c r="J680" s="467"/>
      <c r="K680" s="467"/>
      <c r="L680" s="467"/>
    </row>
    <row r="681" spans="2:12">
      <c r="B681" s="467"/>
      <c r="C681" s="467"/>
      <c r="D681" s="467"/>
      <c r="E681" s="467"/>
      <c r="F681" s="467"/>
      <c r="G681" s="467"/>
      <c r="H681" s="467"/>
      <c r="I681" s="467"/>
      <c r="J681" s="467"/>
      <c r="K681" s="467"/>
      <c r="L681" s="467"/>
    </row>
    <row r="682" spans="2:12">
      <c r="B682" s="467"/>
      <c r="C682" s="467"/>
      <c r="D682" s="467"/>
      <c r="E682" s="467"/>
      <c r="F682" s="467"/>
      <c r="G682" s="467"/>
      <c r="H682" s="467"/>
      <c r="I682" s="467"/>
      <c r="J682" s="467"/>
      <c r="K682" s="467"/>
      <c r="L682" s="467"/>
    </row>
    <row r="683" spans="2:12">
      <c r="B683" s="467"/>
      <c r="C683" s="467"/>
      <c r="D683" s="467"/>
      <c r="E683" s="467"/>
      <c r="F683" s="467"/>
      <c r="G683" s="467"/>
      <c r="H683" s="467"/>
      <c r="I683" s="467"/>
      <c r="J683" s="467"/>
      <c r="K683" s="467"/>
      <c r="L683" s="467"/>
    </row>
    <row r="684" spans="2:12">
      <c r="B684" s="467"/>
      <c r="C684" s="467"/>
      <c r="D684" s="467"/>
      <c r="E684" s="467"/>
      <c r="F684" s="467"/>
      <c r="G684" s="467"/>
      <c r="H684" s="467"/>
      <c r="I684" s="467"/>
      <c r="J684" s="467"/>
      <c r="K684" s="467"/>
      <c r="L684" s="467"/>
    </row>
    <row r="685" spans="2:12">
      <c r="B685" s="467"/>
      <c r="C685" s="467"/>
      <c r="D685" s="467"/>
      <c r="E685" s="467"/>
      <c r="F685" s="467"/>
      <c r="G685" s="467"/>
      <c r="H685" s="467"/>
      <c r="I685" s="467"/>
      <c r="J685" s="467"/>
      <c r="K685" s="467"/>
      <c r="L685" s="467"/>
    </row>
    <row r="686" spans="2:12">
      <c r="B686" s="467"/>
      <c r="C686" s="467"/>
      <c r="D686" s="467"/>
      <c r="E686" s="467"/>
      <c r="F686" s="467"/>
      <c r="G686" s="467"/>
      <c r="H686" s="467"/>
      <c r="I686" s="467"/>
      <c r="J686" s="467"/>
      <c r="K686" s="467"/>
      <c r="L686" s="467"/>
    </row>
    <row r="687" spans="2:12">
      <c r="B687" s="467"/>
      <c r="C687" s="467"/>
      <c r="D687" s="467"/>
      <c r="E687" s="467"/>
      <c r="F687" s="467"/>
      <c r="G687" s="467"/>
      <c r="H687" s="467"/>
      <c r="I687" s="467"/>
      <c r="J687" s="467"/>
      <c r="K687" s="467"/>
      <c r="L687" s="467"/>
    </row>
    <row r="688" spans="2:12">
      <c r="B688" s="467"/>
      <c r="C688" s="467"/>
      <c r="D688" s="467"/>
      <c r="E688" s="467"/>
      <c r="F688" s="467"/>
      <c r="G688" s="467"/>
      <c r="H688" s="467"/>
      <c r="I688" s="467"/>
      <c r="J688" s="467"/>
      <c r="K688" s="467"/>
      <c r="L688" s="467"/>
    </row>
    <row r="689" spans="2:12">
      <c r="B689" s="467"/>
      <c r="C689" s="467"/>
      <c r="D689" s="467"/>
      <c r="E689" s="467"/>
      <c r="F689" s="467"/>
      <c r="G689" s="467"/>
      <c r="H689" s="467"/>
      <c r="I689" s="467"/>
      <c r="J689" s="467"/>
      <c r="K689" s="467"/>
      <c r="L689" s="467"/>
    </row>
    <row r="690" spans="2:12">
      <c r="B690" s="467"/>
      <c r="C690" s="467"/>
      <c r="D690" s="467"/>
      <c r="E690" s="467"/>
      <c r="F690" s="467"/>
      <c r="G690" s="467"/>
      <c r="H690" s="467"/>
      <c r="I690" s="467"/>
      <c r="J690" s="467"/>
      <c r="K690" s="467"/>
      <c r="L690" s="467"/>
    </row>
    <row r="691" spans="2:12">
      <c r="B691" s="467"/>
      <c r="C691" s="467"/>
      <c r="D691" s="467"/>
      <c r="E691" s="467"/>
      <c r="F691" s="467"/>
      <c r="G691" s="467"/>
      <c r="H691" s="467"/>
      <c r="I691" s="467"/>
      <c r="J691" s="467"/>
      <c r="K691" s="467"/>
      <c r="L691" s="467"/>
    </row>
    <row r="692" spans="2:12">
      <c r="B692" s="467"/>
      <c r="C692" s="467"/>
      <c r="D692" s="467"/>
      <c r="E692" s="467"/>
      <c r="F692" s="467"/>
      <c r="G692" s="467"/>
      <c r="H692" s="467"/>
      <c r="I692" s="467"/>
      <c r="J692" s="467"/>
      <c r="K692" s="467"/>
      <c r="L692" s="467"/>
    </row>
    <row r="693" spans="2:12">
      <c r="B693" s="467"/>
      <c r="C693" s="467"/>
      <c r="D693" s="467"/>
      <c r="E693" s="467"/>
      <c r="F693" s="467"/>
      <c r="G693" s="467"/>
      <c r="H693" s="467"/>
      <c r="I693" s="467"/>
      <c r="J693" s="467"/>
      <c r="K693" s="467"/>
      <c r="L693" s="467"/>
    </row>
    <row r="694" spans="2:12">
      <c r="B694" s="467"/>
      <c r="C694" s="467"/>
      <c r="D694" s="467"/>
      <c r="E694" s="467"/>
      <c r="F694" s="467"/>
      <c r="G694" s="467"/>
      <c r="H694" s="467"/>
      <c r="I694" s="467"/>
      <c r="J694" s="467"/>
      <c r="K694" s="467"/>
      <c r="L694" s="467"/>
    </row>
    <row r="695" spans="2:12">
      <c r="B695" s="467"/>
      <c r="C695" s="467"/>
      <c r="D695" s="467"/>
      <c r="E695" s="467"/>
      <c r="F695" s="467"/>
      <c r="G695" s="467"/>
      <c r="H695" s="467"/>
      <c r="I695" s="467"/>
      <c r="J695" s="467"/>
      <c r="K695" s="467"/>
      <c r="L695" s="467"/>
    </row>
    <row r="696" spans="2:12">
      <c r="B696" s="467"/>
      <c r="C696" s="467"/>
      <c r="D696" s="467"/>
      <c r="E696" s="467"/>
      <c r="F696" s="467"/>
      <c r="G696" s="467"/>
      <c r="H696" s="467"/>
      <c r="I696" s="467"/>
      <c r="J696" s="467"/>
      <c r="K696" s="467"/>
      <c r="L696" s="467"/>
    </row>
    <row r="697" spans="2:12">
      <c r="B697" s="467"/>
      <c r="C697" s="467"/>
      <c r="D697" s="467"/>
      <c r="E697" s="467"/>
      <c r="F697" s="467"/>
      <c r="G697" s="467"/>
      <c r="H697" s="467"/>
      <c r="I697" s="467"/>
      <c r="J697" s="467"/>
      <c r="K697" s="467"/>
      <c r="L697" s="467"/>
    </row>
    <row r="698" spans="2:12">
      <c r="B698" s="467"/>
      <c r="C698" s="467"/>
      <c r="D698" s="467"/>
      <c r="E698" s="467"/>
      <c r="F698" s="467"/>
      <c r="G698" s="467"/>
      <c r="H698" s="467"/>
      <c r="I698" s="467"/>
      <c r="J698" s="467"/>
      <c r="K698" s="467"/>
      <c r="L698" s="467"/>
    </row>
    <row r="699" spans="2:12">
      <c r="B699" s="467"/>
      <c r="C699" s="467"/>
      <c r="D699" s="467"/>
      <c r="E699" s="467"/>
      <c r="F699" s="467"/>
      <c r="G699" s="467"/>
      <c r="H699" s="467"/>
      <c r="I699" s="467"/>
      <c r="J699" s="467"/>
      <c r="K699" s="467"/>
      <c r="L699" s="467"/>
    </row>
    <row r="700" spans="2:12">
      <c r="B700" s="467"/>
      <c r="C700" s="467"/>
      <c r="D700" s="467"/>
      <c r="E700" s="467"/>
      <c r="F700" s="467"/>
      <c r="G700" s="467"/>
      <c r="H700" s="467"/>
      <c r="I700" s="467"/>
      <c r="J700" s="467"/>
      <c r="K700" s="467"/>
      <c r="L700" s="467"/>
    </row>
    <row r="701" spans="2:12">
      <c r="B701" s="467"/>
      <c r="C701" s="467"/>
      <c r="D701" s="467"/>
      <c r="E701" s="467"/>
      <c r="F701" s="467"/>
      <c r="G701" s="467"/>
      <c r="H701" s="467"/>
      <c r="I701" s="467"/>
      <c r="J701" s="467"/>
      <c r="K701" s="467"/>
      <c r="L701" s="467"/>
    </row>
    <row r="702" spans="2:12">
      <c r="B702" s="467"/>
      <c r="C702" s="467"/>
      <c r="D702" s="467"/>
      <c r="E702" s="467"/>
      <c r="F702" s="467"/>
      <c r="G702" s="467"/>
      <c r="H702" s="467"/>
      <c r="I702" s="467"/>
      <c r="J702" s="467"/>
      <c r="K702" s="467"/>
      <c r="L702" s="467"/>
    </row>
    <row r="703" spans="2:12">
      <c r="B703" s="467"/>
      <c r="C703" s="467"/>
      <c r="D703" s="467"/>
      <c r="E703" s="467"/>
      <c r="F703" s="467"/>
      <c r="G703" s="467"/>
      <c r="H703" s="467"/>
      <c r="I703" s="467"/>
      <c r="J703" s="467"/>
      <c r="K703" s="467"/>
      <c r="L703" s="467"/>
    </row>
    <row r="704" spans="2:12">
      <c r="B704" s="467"/>
      <c r="C704" s="467"/>
      <c r="D704" s="467"/>
      <c r="E704" s="467"/>
      <c r="F704" s="467"/>
      <c r="G704" s="467"/>
      <c r="H704" s="467"/>
      <c r="I704" s="467"/>
      <c r="J704" s="467"/>
      <c r="K704" s="467"/>
      <c r="L704" s="467"/>
    </row>
    <row r="705" spans="2:12">
      <c r="B705" s="467"/>
      <c r="C705" s="467"/>
      <c r="D705" s="467"/>
      <c r="E705" s="467"/>
      <c r="F705" s="467"/>
      <c r="G705" s="467"/>
      <c r="H705" s="467"/>
      <c r="I705" s="467"/>
      <c r="J705" s="467"/>
      <c r="K705" s="467"/>
      <c r="L705" s="467"/>
    </row>
    <row r="706" spans="2:12">
      <c r="B706" s="467"/>
      <c r="C706" s="467"/>
      <c r="D706" s="467"/>
      <c r="E706" s="467"/>
      <c r="F706" s="467"/>
      <c r="G706" s="467"/>
      <c r="H706" s="467"/>
      <c r="I706" s="467"/>
      <c r="J706" s="467"/>
      <c r="K706" s="467"/>
      <c r="L706" s="467"/>
    </row>
    <row r="707" spans="2:12">
      <c r="B707" s="467"/>
      <c r="C707" s="467"/>
      <c r="D707" s="467"/>
      <c r="E707" s="467"/>
      <c r="F707" s="467"/>
      <c r="G707" s="467"/>
      <c r="H707" s="467"/>
      <c r="I707" s="467"/>
      <c r="J707" s="467"/>
      <c r="K707" s="467"/>
      <c r="L707" s="467"/>
    </row>
    <row r="708" spans="2:12">
      <c r="B708" s="467"/>
      <c r="C708" s="467"/>
      <c r="D708" s="467"/>
      <c r="E708" s="467"/>
      <c r="F708" s="467"/>
      <c r="G708" s="467"/>
      <c r="H708" s="467"/>
      <c r="I708" s="467"/>
      <c r="J708" s="467"/>
      <c r="K708" s="467"/>
      <c r="L708" s="467"/>
    </row>
    <row r="709" spans="2:12">
      <c r="B709" s="467"/>
      <c r="C709" s="467"/>
      <c r="D709" s="467"/>
      <c r="E709" s="467"/>
      <c r="F709" s="467"/>
      <c r="G709" s="467"/>
      <c r="H709" s="467"/>
      <c r="I709" s="467"/>
      <c r="J709" s="467"/>
      <c r="K709" s="467"/>
      <c r="L709" s="467"/>
    </row>
    <row r="710" spans="2:12">
      <c r="B710" s="467"/>
      <c r="C710" s="467"/>
      <c r="D710" s="467"/>
      <c r="E710" s="467"/>
      <c r="F710" s="467"/>
      <c r="G710" s="467"/>
      <c r="H710" s="467"/>
      <c r="I710" s="467"/>
      <c r="J710" s="467"/>
      <c r="K710" s="467"/>
      <c r="L710" s="467"/>
    </row>
    <row r="711" spans="2:12">
      <c r="B711" s="467"/>
      <c r="C711" s="467"/>
      <c r="D711" s="467"/>
      <c r="E711" s="467"/>
      <c r="F711" s="467"/>
      <c r="G711" s="467"/>
      <c r="H711" s="467"/>
      <c r="I711" s="467"/>
      <c r="J711" s="467"/>
      <c r="K711" s="467"/>
      <c r="L711" s="467"/>
    </row>
    <row r="712" spans="2:12">
      <c r="B712" s="467"/>
      <c r="C712" s="467"/>
      <c r="D712" s="467"/>
      <c r="E712" s="467"/>
      <c r="F712" s="467"/>
      <c r="G712" s="467"/>
      <c r="H712" s="467"/>
      <c r="I712" s="467"/>
      <c r="J712" s="467"/>
      <c r="K712" s="467"/>
      <c r="L712" s="467"/>
    </row>
    <row r="713" spans="2:12">
      <c r="B713" s="467"/>
      <c r="C713" s="467"/>
      <c r="D713" s="467"/>
      <c r="E713" s="467"/>
      <c r="F713" s="467"/>
      <c r="G713" s="467"/>
      <c r="H713" s="467"/>
      <c r="I713" s="467"/>
      <c r="J713" s="467"/>
      <c r="K713" s="467"/>
      <c r="L713" s="467"/>
    </row>
    <row r="714" spans="2:12">
      <c r="B714" s="467"/>
      <c r="C714" s="467"/>
      <c r="D714" s="467"/>
      <c r="E714" s="467"/>
      <c r="F714" s="467"/>
      <c r="G714" s="467"/>
      <c r="H714" s="467"/>
      <c r="I714" s="467"/>
      <c r="J714" s="467"/>
      <c r="K714" s="467"/>
      <c r="L714" s="467"/>
    </row>
    <row r="715" spans="2:12">
      <c r="B715" s="467"/>
      <c r="C715" s="467"/>
      <c r="D715" s="467"/>
      <c r="E715" s="467"/>
      <c r="F715" s="467"/>
      <c r="G715" s="467"/>
      <c r="H715" s="467"/>
      <c r="I715" s="467"/>
      <c r="J715" s="467"/>
      <c r="K715" s="467"/>
      <c r="L715" s="467"/>
    </row>
    <row r="716" spans="2:12">
      <c r="B716" s="467"/>
      <c r="C716" s="467"/>
      <c r="D716" s="467"/>
      <c r="E716" s="467"/>
      <c r="F716" s="467"/>
      <c r="G716" s="467"/>
      <c r="H716" s="467"/>
      <c r="I716" s="467"/>
      <c r="J716" s="467"/>
      <c r="K716" s="467"/>
      <c r="L716" s="467"/>
    </row>
    <row r="717" spans="2:12">
      <c r="B717" s="467"/>
      <c r="C717" s="467"/>
      <c r="D717" s="467"/>
      <c r="E717" s="467"/>
      <c r="F717" s="467"/>
      <c r="G717" s="467"/>
      <c r="H717" s="467"/>
      <c r="I717" s="467"/>
      <c r="J717" s="467"/>
      <c r="K717" s="467"/>
      <c r="L717" s="467"/>
    </row>
    <row r="718" spans="2:12">
      <c r="B718" s="467"/>
      <c r="C718" s="467"/>
      <c r="D718" s="467"/>
      <c r="E718" s="467"/>
      <c r="F718" s="467"/>
      <c r="G718" s="467"/>
      <c r="H718" s="467"/>
      <c r="I718" s="467"/>
      <c r="J718" s="467"/>
      <c r="K718" s="467"/>
      <c r="L718" s="467"/>
    </row>
    <row r="719" spans="2:12">
      <c r="B719" s="467"/>
      <c r="C719" s="467"/>
      <c r="D719" s="467"/>
      <c r="E719" s="467"/>
      <c r="F719" s="467"/>
      <c r="G719" s="467"/>
      <c r="H719" s="467"/>
      <c r="I719" s="467"/>
      <c r="J719" s="467"/>
      <c r="K719" s="467"/>
      <c r="L719" s="467"/>
    </row>
    <row r="720" spans="2:12">
      <c r="B720" s="467"/>
      <c r="C720" s="467"/>
      <c r="D720" s="467"/>
      <c r="E720" s="467"/>
      <c r="F720" s="467"/>
      <c r="G720" s="467"/>
      <c r="H720" s="467"/>
      <c r="I720" s="467"/>
      <c r="J720" s="467"/>
      <c r="K720" s="467"/>
      <c r="L720" s="467"/>
    </row>
    <row r="721" spans="2:12">
      <c r="B721" s="467"/>
      <c r="C721" s="467"/>
      <c r="D721" s="467"/>
      <c r="E721" s="467"/>
      <c r="F721" s="467"/>
      <c r="G721" s="467"/>
      <c r="H721" s="467"/>
      <c r="I721" s="467"/>
      <c r="J721" s="467"/>
      <c r="K721" s="467"/>
      <c r="L721" s="467"/>
    </row>
    <row r="722" spans="2:12">
      <c r="B722" s="467"/>
      <c r="C722" s="467"/>
      <c r="D722" s="467"/>
      <c r="E722" s="467"/>
      <c r="F722" s="467"/>
      <c r="G722" s="467"/>
      <c r="H722" s="467"/>
      <c r="I722" s="467"/>
      <c r="J722" s="467"/>
      <c r="K722" s="467"/>
      <c r="L722" s="467"/>
    </row>
    <row r="723" spans="2:12">
      <c r="B723" s="467"/>
      <c r="C723" s="467"/>
      <c r="D723" s="467"/>
      <c r="E723" s="467"/>
      <c r="F723" s="467"/>
      <c r="G723" s="467"/>
      <c r="H723" s="467"/>
      <c r="I723" s="467"/>
      <c r="J723" s="467"/>
      <c r="K723" s="467"/>
      <c r="L723" s="467"/>
    </row>
    <row r="724" spans="2:12">
      <c r="B724" s="467"/>
      <c r="C724" s="467"/>
      <c r="D724" s="467"/>
      <c r="E724" s="467"/>
      <c r="F724" s="467"/>
      <c r="G724" s="467"/>
      <c r="H724" s="467"/>
      <c r="I724" s="467"/>
      <c r="J724" s="467"/>
      <c r="K724" s="467"/>
      <c r="L724" s="467"/>
    </row>
    <row r="725" spans="2:12">
      <c r="B725" s="467"/>
      <c r="C725" s="467"/>
      <c r="D725" s="467"/>
      <c r="E725" s="467"/>
      <c r="F725" s="467"/>
      <c r="G725" s="467"/>
      <c r="H725" s="467"/>
      <c r="I725" s="467"/>
      <c r="J725" s="467"/>
      <c r="K725" s="467"/>
      <c r="L725" s="467"/>
    </row>
    <row r="726" spans="2:12">
      <c r="B726" s="467"/>
      <c r="C726" s="467"/>
      <c r="D726" s="467"/>
      <c r="E726" s="467"/>
      <c r="F726" s="467"/>
      <c r="G726" s="467"/>
      <c r="H726" s="467"/>
      <c r="I726" s="467"/>
      <c r="J726" s="467"/>
      <c r="K726" s="467"/>
      <c r="L726" s="467"/>
    </row>
    <row r="727" spans="2:12">
      <c r="B727" s="467"/>
      <c r="C727" s="467"/>
      <c r="D727" s="467"/>
      <c r="E727" s="467"/>
      <c r="F727" s="467"/>
      <c r="G727" s="467"/>
      <c r="H727" s="467"/>
      <c r="I727" s="467"/>
      <c r="J727" s="467"/>
      <c r="K727" s="467"/>
      <c r="L727" s="467"/>
    </row>
    <row r="728" spans="2:12">
      <c r="B728" s="467"/>
      <c r="C728" s="467"/>
      <c r="D728" s="467"/>
      <c r="E728" s="467"/>
      <c r="F728" s="467"/>
      <c r="G728" s="467"/>
      <c r="H728" s="467"/>
      <c r="I728" s="467"/>
      <c r="J728" s="467"/>
      <c r="K728" s="467"/>
      <c r="L728" s="467"/>
    </row>
    <row r="729" spans="2:12">
      <c r="B729" s="467"/>
      <c r="C729" s="467"/>
      <c r="D729" s="467"/>
      <c r="E729" s="467"/>
      <c r="F729" s="467"/>
      <c r="G729" s="467"/>
      <c r="H729" s="467"/>
      <c r="I729" s="467"/>
      <c r="J729" s="467"/>
      <c r="K729" s="467"/>
      <c r="L729" s="467"/>
    </row>
    <row r="730" spans="2:12">
      <c r="B730" s="467"/>
      <c r="C730" s="467"/>
      <c r="D730" s="467"/>
      <c r="E730" s="467"/>
      <c r="F730" s="467"/>
      <c r="G730" s="467"/>
      <c r="H730" s="467"/>
      <c r="I730" s="467"/>
      <c r="J730" s="467"/>
      <c r="K730" s="467"/>
      <c r="L730" s="467"/>
    </row>
    <row r="731" spans="2:12">
      <c r="B731" s="467"/>
      <c r="C731" s="467"/>
      <c r="D731" s="467"/>
      <c r="E731" s="467"/>
      <c r="F731" s="467"/>
      <c r="G731" s="467"/>
      <c r="H731" s="467"/>
      <c r="I731" s="467"/>
      <c r="J731" s="467"/>
      <c r="K731" s="467"/>
      <c r="L731" s="467"/>
    </row>
    <row r="732" spans="2:12">
      <c r="B732" s="467"/>
      <c r="C732" s="467"/>
      <c r="D732" s="467"/>
      <c r="E732" s="467"/>
      <c r="F732" s="467"/>
      <c r="G732" s="467"/>
      <c r="H732" s="467"/>
      <c r="I732" s="467"/>
      <c r="J732" s="467"/>
      <c r="K732" s="467"/>
      <c r="L732" s="467"/>
    </row>
    <row r="733" spans="2:12">
      <c r="B733" s="467"/>
      <c r="C733" s="467"/>
      <c r="D733" s="467"/>
      <c r="E733" s="467"/>
      <c r="F733" s="467"/>
      <c r="G733" s="467"/>
      <c r="H733" s="467"/>
      <c r="I733" s="467"/>
      <c r="J733" s="467"/>
      <c r="K733" s="467"/>
      <c r="L733" s="467"/>
    </row>
    <row r="734" spans="2:12">
      <c r="B734" s="467"/>
      <c r="C734" s="467"/>
      <c r="D734" s="467"/>
      <c r="E734" s="467"/>
      <c r="F734" s="467"/>
      <c r="G734" s="467"/>
      <c r="H734" s="467"/>
      <c r="I734" s="467"/>
      <c r="J734" s="467"/>
      <c r="K734" s="467"/>
      <c r="L734" s="467"/>
    </row>
    <row r="735" spans="2:12">
      <c r="B735" s="467"/>
      <c r="C735" s="467"/>
      <c r="D735" s="467"/>
      <c r="E735" s="467"/>
      <c r="F735" s="467"/>
      <c r="G735" s="467"/>
      <c r="H735" s="467"/>
      <c r="I735" s="467"/>
      <c r="J735" s="467"/>
      <c r="K735" s="467"/>
      <c r="L735" s="467"/>
    </row>
    <row r="736" spans="2:12">
      <c r="B736" s="467"/>
      <c r="C736" s="467"/>
      <c r="D736" s="467"/>
      <c r="E736" s="467"/>
      <c r="F736" s="467"/>
      <c r="G736" s="467"/>
      <c r="H736" s="467"/>
      <c r="I736" s="467"/>
      <c r="J736" s="467"/>
      <c r="K736" s="467"/>
      <c r="L736" s="467"/>
    </row>
    <row r="737" spans="2:12">
      <c r="B737" s="467"/>
      <c r="C737" s="467"/>
      <c r="D737" s="467"/>
      <c r="E737" s="467"/>
      <c r="F737" s="467"/>
      <c r="G737" s="467"/>
      <c r="H737" s="467"/>
      <c r="I737" s="467"/>
      <c r="J737" s="467"/>
      <c r="K737" s="467"/>
      <c r="L737" s="467"/>
    </row>
    <row r="738" spans="2:12">
      <c r="B738" s="467"/>
      <c r="C738" s="467"/>
      <c r="D738" s="467"/>
      <c r="E738" s="467"/>
      <c r="F738" s="467"/>
      <c r="G738" s="467"/>
      <c r="H738" s="467"/>
      <c r="I738" s="467"/>
      <c r="J738" s="467"/>
      <c r="K738" s="467"/>
      <c r="L738" s="467"/>
    </row>
    <row r="739" spans="2:12">
      <c r="B739" s="467"/>
      <c r="C739" s="467"/>
      <c r="D739" s="467"/>
      <c r="E739" s="467"/>
      <c r="F739" s="467"/>
      <c r="G739" s="467"/>
      <c r="H739" s="467"/>
      <c r="I739" s="467"/>
      <c r="J739" s="467"/>
      <c r="K739" s="467"/>
      <c r="L739" s="467"/>
    </row>
    <row r="740" spans="2:12">
      <c r="B740" s="467"/>
      <c r="C740" s="467"/>
      <c r="D740" s="467"/>
      <c r="E740" s="467"/>
      <c r="F740" s="467"/>
      <c r="G740" s="467"/>
      <c r="H740" s="467"/>
      <c r="I740" s="467"/>
      <c r="J740" s="467"/>
      <c r="K740" s="467"/>
      <c r="L740" s="467"/>
    </row>
    <row r="741" spans="2:12">
      <c r="B741" s="467"/>
      <c r="C741" s="467"/>
      <c r="D741" s="467"/>
      <c r="E741" s="467"/>
      <c r="F741" s="467"/>
      <c r="G741" s="467"/>
      <c r="H741" s="467"/>
      <c r="I741" s="467"/>
      <c r="J741" s="467"/>
      <c r="K741" s="467"/>
      <c r="L741" s="467"/>
    </row>
  </sheetData>
  <sheetProtection password="CADB" sheet="1" objects="1" scenarios="1"/>
  <mergeCells count="8">
    <mergeCell ref="B4:R4"/>
    <mergeCell ref="B154:R154"/>
    <mergeCell ref="B184:R184"/>
    <mergeCell ref="B214:R214"/>
    <mergeCell ref="B124:R124"/>
    <mergeCell ref="B34:R34"/>
    <mergeCell ref="B64:R64"/>
    <mergeCell ref="B94:R94"/>
  </mergeCells>
  <phoneticPr fontId="0" type="noConversion"/>
  <printOptions horizontalCentered="1"/>
  <pageMargins left="0.6692913385826772" right="0.47244094488188981" top="0.94488188976377963" bottom="0.98425196850393704" header="0.51181102362204722" footer="0.51181102362204722"/>
  <pageSetup paperSize="9" scale="85" orientation="portrait" blackAndWhite="1" r:id="rId1"/>
  <headerFooter alignWithMargins="0">
    <oddFooter>&amp;R&amp;F</oddFooter>
  </headerFooter>
  <rowBreaks count="1" manualBreakCount="1">
    <brk id="62" min="1" max="1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  <pageSetUpPr autoPageBreaks="0"/>
  </sheetPr>
  <dimension ref="A1:T209"/>
  <sheetViews>
    <sheetView showGridLines="0" showZeros="0" zoomScaleNormal="100" zoomScaleSheetLayoutView="100" workbookViewId="0">
      <selection activeCell="O25" sqref="O25"/>
    </sheetView>
  </sheetViews>
  <sheetFormatPr defaultRowHeight="12.75"/>
  <cols>
    <col min="1" max="1" width="4" style="446" customWidth="1"/>
    <col min="2" max="2" width="18" style="446" customWidth="1"/>
    <col min="3" max="3" width="2.140625" style="446" customWidth="1"/>
    <col min="4" max="4" width="7.140625" style="446" customWidth="1"/>
    <col min="5" max="5" width="1.5703125" style="446" customWidth="1"/>
    <col min="6" max="6" width="5.140625" style="446" customWidth="1"/>
    <col min="7" max="7" width="1.85546875" style="446" customWidth="1"/>
    <col min="8" max="8" width="10" style="446" customWidth="1"/>
    <col min="9" max="9" width="2.42578125" style="446" customWidth="1"/>
    <col min="10" max="10" width="9.85546875" style="446" customWidth="1"/>
    <col min="11" max="11" width="2.42578125" style="446" customWidth="1"/>
    <col min="12" max="12" width="9.85546875" style="446" customWidth="1"/>
    <col min="13" max="13" width="2.42578125" style="446" customWidth="1"/>
    <col min="14" max="14" width="10.7109375" style="446" customWidth="1"/>
    <col min="15" max="15" width="2.42578125" style="446" customWidth="1"/>
    <col min="16" max="16" width="10.140625" style="446" customWidth="1"/>
    <col min="17" max="17" width="2.42578125" style="446" customWidth="1"/>
    <col min="18" max="18" width="11.5703125" style="446" customWidth="1"/>
    <col min="19" max="16384" width="9.140625" style="446"/>
  </cols>
  <sheetData>
    <row r="1" spans="1:19" ht="6" customHeight="1"/>
    <row r="2" spans="1:19" ht="15" customHeight="1"/>
    <row r="3" spans="1:19" ht="14.2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8"/>
    </row>
    <row r="4" spans="1:19" ht="21" customHeight="1" thickBot="1">
      <c r="A4" s="447"/>
      <c r="B4" s="1078" t="s">
        <v>414</v>
      </c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80"/>
      <c r="S4" s="448"/>
    </row>
    <row r="5" spans="1:19" ht="11.25" customHeight="1">
      <c r="A5" s="447"/>
      <c r="B5" s="6"/>
      <c r="C5" s="6"/>
      <c r="D5" s="6"/>
      <c r="E5" s="6"/>
      <c r="F5" s="6"/>
      <c r="G5" s="6"/>
      <c r="H5" s="6"/>
      <c r="I5" s="6"/>
      <c r="J5" s="6"/>
      <c r="K5" s="6"/>
      <c r="L5" s="447"/>
      <c r="M5" s="447"/>
      <c r="N5" s="447"/>
      <c r="O5" s="447"/>
      <c r="P5" s="447"/>
      <c r="Q5" s="447"/>
      <c r="R5" s="447"/>
      <c r="S5" s="448"/>
    </row>
    <row r="6" spans="1:19" ht="18" customHeight="1" thickBot="1">
      <c r="A6" s="447"/>
      <c r="B6" s="623"/>
      <c r="C6" s="57"/>
      <c r="D6" s="624"/>
      <c r="E6" s="68"/>
      <c r="F6" s="625"/>
      <c r="G6" s="626"/>
      <c r="H6" s="64" t="s">
        <v>415</v>
      </c>
      <c r="I6" s="447"/>
      <c r="J6" s="602"/>
      <c r="K6" s="645" t="s">
        <v>507</v>
      </c>
      <c r="L6" s="448"/>
      <c r="N6" s="626"/>
      <c r="O6" s="447"/>
      <c r="P6" s="646" t="s">
        <v>416</v>
      </c>
      <c r="Q6" s="447"/>
      <c r="R6" s="601"/>
      <c r="S6" s="448"/>
    </row>
    <row r="7" spans="1:19" ht="9" customHeight="1">
      <c r="A7" s="447"/>
      <c r="B7" s="3"/>
      <c r="C7" s="3"/>
      <c r="D7" s="8"/>
      <c r="E7" s="17"/>
      <c r="F7" s="449"/>
      <c r="G7" s="3"/>
      <c r="H7" s="449"/>
      <c r="I7" s="449"/>
      <c r="J7" s="450"/>
      <c r="K7" s="447"/>
      <c r="L7" s="451"/>
      <c r="M7" s="447"/>
      <c r="N7" s="447"/>
      <c r="O7" s="447"/>
      <c r="P7" s="447"/>
      <c r="Q7" s="447"/>
      <c r="R7" s="447"/>
      <c r="S7" s="448"/>
    </row>
    <row r="8" spans="1:19" ht="16.5" customHeight="1" thickBot="1">
      <c r="A8" s="447"/>
      <c r="B8" s="604"/>
      <c r="C8" s="603"/>
      <c r="D8" s="603"/>
      <c r="E8" s="603"/>
      <c r="F8" s="603"/>
      <c r="G8" s="495"/>
      <c r="H8" s="603"/>
      <c r="I8" s="603"/>
      <c r="J8" s="603" t="s">
        <v>19</v>
      </c>
      <c r="K8" s="603"/>
      <c r="L8" s="603"/>
      <c r="M8" s="495"/>
      <c r="N8" s="495"/>
      <c r="O8" s="495"/>
      <c r="P8" s="495"/>
      <c r="Q8" s="495"/>
      <c r="R8" s="496"/>
      <c r="S8" s="448"/>
    </row>
    <row r="9" spans="1:19" ht="6.75" customHeight="1">
      <c r="A9" s="447"/>
      <c r="B9" s="3"/>
      <c r="C9" s="3"/>
      <c r="D9" s="3"/>
      <c r="E9" s="3"/>
      <c r="F9" s="4"/>
      <c r="G9" s="4"/>
      <c r="H9" s="4"/>
      <c r="I9" s="4"/>
      <c r="J9" s="4"/>
      <c r="K9" s="3"/>
      <c r="L9" s="447"/>
      <c r="M9" s="447"/>
      <c r="N9" s="447"/>
      <c r="O9" s="447"/>
      <c r="P9" s="447"/>
      <c r="Q9" s="447"/>
      <c r="R9" s="447"/>
      <c r="S9" s="448"/>
    </row>
    <row r="10" spans="1:19" ht="25.5" customHeight="1" thickBot="1">
      <c r="A10" s="447"/>
      <c r="B10" s="605" t="s">
        <v>102</v>
      </c>
      <c r="C10" s="606"/>
      <c r="D10" s="603" t="s">
        <v>66</v>
      </c>
      <c r="E10" s="606"/>
      <c r="F10" s="607" t="s">
        <v>67</v>
      </c>
      <c r="G10" s="607"/>
      <c r="H10" s="606" t="s">
        <v>68</v>
      </c>
      <c r="I10" s="537"/>
      <c r="J10" s="603" t="s">
        <v>65</v>
      </c>
      <c r="K10" s="537"/>
      <c r="L10" s="603" t="s">
        <v>417</v>
      </c>
      <c r="M10" s="495"/>
      <c r="N10" s="603" t="s">
        <v>17</v>
      </c>
      <c r="O10" s="495"/>
      <c r="P10" s="608" t="s">
        <v>86</v>
      </c>
      <c r="Q10" s="495"/>
      <c r="R10" s="609" t="s">
        <v>113</v>
      </c>
      <c r="S10" s="448"/>
    </row>
    <row r="11" spans="1:19">
      <c r="A11" s="447"/>
      <c r="B11" s="42"/>
      <c r="C11" s="42"/>
      <c r="D11" s="6"/>
      <c r="E11" s="42"/>
      <c r="F11" s="6"/>
      <c r="G11" s="6"/>
      <c r="H11" s="42"/>
      <c r="I11" s="3"/>
      <c r="J11" s="6"/>
      <c r="K11" s="3"/>
      <c r="L11" s="4"/>
      <c r="M11" s="447"/>
      <c r="N11" s="447"/>
      <c r="O11" s="447"/>
      <c r="P11" s="447"/>
      <c r="Q11" s="447"/>
      <c r="R11" s="447"/>
      <c r="S11" s="448"/>
    </row>
    <row r="12" spans="1:19" s="454" customFormat="1" ht="14.25" customHeight="1">
      <c r="A12" s="452"/>
      <c r="B12" s="68" t="s">
        <v>76</v>
      </c>
      <c r="C12" s="42"/>
      <c r="D12" s="591">
        <v>4</v>
      </c>
      <c r="E12" s="17"/>
      <c r="F12" s="593" t="s">
        <v>29</v>
      </c>
      <c r="G12" s="42"/>
      <c r="H12" s="597"/>
      <c r="I12" s="3"/>
      <c r="J12" s="600"/>
      <c r="K12" s="3"/>
      <c r="L12" s="610">
        <f>IF(H12&gt;0,(J12*D12)/H12,0)</f>
        <v>0</v>
      </c>
      <c r="M12" s="452"/>
      <c r="N12" s="612">
        <f>L12*J6</f>
        <v>0</v>
      </c>
      <c r="O12" s="452"/>
      <c r="P12" s="612" t="e">
        <f>IF(#REF!&gt;=7.6%,-(0.0165+0.076)*N12,0)</f>
        <v>#REF!</v>
      </c>
      <c r="Q12" s="452"/>
      <c r="R12" s="612" t="e">
        <f t="shared" ref="R12:R21" si="0">N12+P12</f>
        <v>#REF!</v>
      </c>
      <c r="S12" s="453"/>
    </row>
    <row r="13" spans="1:19" s="454" customFormat="1" ht="14.25" customHeight="1">
      <c r="A13" s="452"/>
      <c r="B13" s="68" t="s">
        <v>75</v>
      </c>
      <c r="C13" s="17"/>
      <c r="D13" s="591">
        <v>1</v>
      </c>
      <c r="E13" s="17"/>
      <c r="F13" s="593" t="s">
        <v>64</v>
      </c>
      <c r="G13" s="42"/>
      <c r="H13" s="598"/>
      <c r="I13" s="3"/>
      <c r="J13" s="600"/>
      <c r="K13" s="3"/>
      <c r="L13" s="610">
        <f>IF(H13&gt;0,(J13*D13)/H13,0)</f>
        <v>0</v>
      </c>
      <c r="M13" s="452"/>
      <c r="N13" s="612">
        <f>L13*J6</f>
        <v>0</v>
      </c>
      <c r="O13" s="452"/>
      <c r="P13" s="612" t="e">
        <f>IF(#REF!&gt;=7.6%,-(0.0165+0.076)*N13,0)</f>
        <v>#REF!</v>
      </c>
      <c r="Q13" s="452"/>
      <c r="R13" s="612" t="e">
        <f t="shared" si="0"/>
        <v>#REF!</v>
      </c>
      <c r="S13" s="453"/>
    </row>
    <row r="14" spans="1:19" s="454" customFormat="1" ht="14.25" customHeight="1">
      <c r="A14" s="452"/>
      <c r="B14" s="68" t="s">
        <v>69</v>
      </c>
      <c r="C14" s="17"/>
      <c r="D14" s="591"/>
      <c r="E14" s="17"/>
      <c r="F14" s="594" t="s">
        <v>64</v>
      </c>
      <c r="G14" s="455"/>
      <c r="H14" s="597"/>
      <c r="I14" s="3"/>
      <c r="J14" s="600"/>
      <c r="K14" s="3"/>
      <c r="L14" s="610">
        <f t="shared" ref="L14:L20" si="1">IF(H14&gt;0,(J14*D14)/H14,0)</f>
        <v>0</v>
      </c>
      <c r="M14" s="452"/>
      <c r="N14" s="612">
        <f>L14*J6</f>
        <v>0</v>
      </c>
      <c r="O14" s="452"/>
      <c r="P14" s="612" t="e">
        <f>IF(#REF!&gt;=7.6%,-(0.0165+0.076)*N14,0)</f>
        <v>#REF!</v>
      </c>
      <c r="Q14" s="452"/>
      <c r="R14" s="612" t="e">
        <f t="shared" si="0"/>
        <v>#REF!</v>
      </c>
      <c r="S14" s="453"/>
    </row>
    <row r="15" spans="1:19" s="454" customFormat="1" ht="14.25" customHeight="1">
      <c r="A15" s="452"/>
      <c r="B15" s="68" t="s">
        <v>70</v>
      </c>
      <c r="C15" s="17"/>
      <c r="D15" s="591">
        <v>1</v>
      </c>
      <c r="E15" s="17"/>
      <c r="F15" s="594" t="s">
        <v>64</v>
      </c>
      <c r="G15" s="455"/>
      <c r="H15" s="597"/>
      <c r="I15" s="3"/>
      <c r="J15" s="600"/>
      <c r="K15" s="3"/>
      <c r="L15" s="610">
        <f t="shared" si="1"/>
        <v>0</v>
      </c>
      <c r="M15" s="452"/>
      <c r="N15" s="612">
        <f>L15*J6</f>
        <v>0</v>
      </c>
      <c r="O15" s="452"/>
      <c r="P15" s="612" t="e">
        <f>IF(#REF!&gt;=7.6%,-(0.0165+0.076)*N15,0)</f>
        <v>#REF!</v>
      </c>
      <c r="Q15" s="452"/>
      <c r="R15" s="612" t="e">
        <f t="shared" si="0"/>
        <v>#REF!</v>
      </c>
      <c r="S15" s="453"/>
    </row>
    <row r="16" spans="1:19" s="454" customFormat="1" ht="14.25" customHeight="1">
      <c r="A16" s="452"/>
      <c r="B16" s="68" t="s">
        <v>71</v>
      </c>
      <c r="C16" s="17"/>
      <c r="D16" s="591">
        <v>1</v>
      </c>
      <c r="E16" s="17"/>
      <c r="F16" s="594" t="s">
        <v>64</v>
      </c>
      <c r="G16" s="455"/>
      <c r="H16" s="597"/>
      <c r="I16" s="3"/>
      <c r="J16" s="600"/>
      <c r="K16" s="3"/>
      <c r="L16" s="610">
        <f t="shared" si="1"/>
        <v>0</v>
      </c>
      <c r="M16" s="452"/>
      <c r="N16" s="612">
        <f>L16*J6</f>
        <v>0</v>
      </c>
      <c r="O16" s="452"/>
      <c r="P16" s="612" t="e">
        <f>IF(#REF!&gt;=7.6%,-(0.0165+0.076)*N16,0)</f>
        <v>#REF!</v>
      </c>
      <c r="Q16" s="452"/>
      <c r="R16" s="612" t="e">
        <f t="shared" si="0"/>
        <v>#REF!</v>
      </c>
      <c r="S16" s="453"/>
    </row>
    <row r="17" spans="1:20" s="454" customFormat="1" ht="14.25" customHeight="1">
      <c r="A17" s="452"/>
      <c r="B17" s="68" t="s">
        <v>72</v>
      </c>
      <c r="C17" s="17"/>
      <c r="D17" s="591">
        <v>1</v>
      </c>
      <c r="E17" s="17"/>
      <c r="F17" s="594" t="s">
        <v>64</v>
      </c>
      <c r="G17" s="455"/>
      <c r="H17" s="597"/>
      <c r="I17" s="3"/>
      <c r="J17" s="600"/>
      <c r="K17" s="3"/>
      <c r="L17" s="610">
        <f t="shared" si="1"/>
        <v>0</v>
      </c>
      <c r="M17" s="452"/>
      <c r="N17" s="612">
        <f>L17*J6</f>
        <v>0</v>
      </c>
      <c r="O17" s="452"/>
      <c r="P17" s="612" t="e">
        <f>IF(#REF!&gt;=7.6%,-(0.0165+0.076)*N17,0)</f>
        <v>#REF!</v>
      </c>
      <c r="Q17" s="452"/>
      <c r="R17" s="612" t="e">
        <f t="shared" si="0"/>
        <v>#REF!</v>
      </c>
      <c r="S17" s="453"/>
    </row>
    <row r="18" spans="1:20" s="454" customFormat="1" ht="14.25" customHeight="1">
      <c r="A18" s="452"/>
      <c r="B18" s="627" t="s">
        <v>73</v>
      </c>
      <c r="C18" s="456"/>
      <c r="D18" s="591">
        <v>1</v>
      </c>
      <c r="E18" s="456"/>
      <c r="F18" s="595" t="s">
        <v>64</v>
      </c>
      <c r="G18" s="457"/>
      <c r="H18" s="597"/>
      <c r="I18" s="3"/>
      <c r="J18" s="600"/>
      <c r="K18" s="3"/>
      <c r="L18" s="610">
        <f t="shared" si="1"/>
        <v>0</v>
      </c>
      <c r="M18" s="452"/>
      <c r="N18" s="612">
        <f>L18*J6</f>
        <v>0</v>
      </c>
      <c r="O18" s="452"/>
      <c r="P18" s="612" t="e">
        <f>IF(#REF!&gt;=7.6%,-(0.0165+0.076)*N18,0)</f>
        <v>#REF!</v>
      </c>
      <c r="Q18" s="452"/>
      <c r="R18" s="612" t="e">
        <f t="shared" si="0"/>
        <v>#REF!</v>
      </c>
      <c r="S18" s="453"/>
    </row>
    <row r="19" spans="1:20" s="454" customFormat="1" ht="14.25" customHeight="1">
      <c r="A19" s="452"/>
      <c r="B19" s="68" t="s">
        <v>74</v>
      </c>
      <c r="C19" s="17"/>
      <c r="D19" s="591">
        <v>1</v>
      </c>
      <c r="E19" s="17"/>
      <c r="F19" s="595" t="s">
        <v>29</v>
      </c>
      <c r="G19" s="457"/>
      <c r="H19" s="597"/>
      <c r="I19" s="3"/>
      <c r="J19" s="600"/>
      <c r="K19" s="3"/>
      <c r="L19" s="610">
        <f t="shared" si="1"/>
        <v>0</v>
      </c>
      <c r="M19" s="452"/>
      <c r="N19" s="612">
        <f>L19*J6</f>
        <v>0</v>
      </c>
      <c r="O19" s="452"/>
      <c r="P19" s="612" t="e">
        <f>IF(#REF!&gt;=7.6%,-(0.0165+0.076)*N19,0)</f>
        <v>#REF!</v>
      </c>
      <c r="Q19" s="452"/>
      <c r="R19" s="612" t="e">
        <f t="shared" si="0"/>
        <v>#REF!</v>
      </c>
      <c r="S19" s="453"/>
    </row>
    <row r="20" spans="1:20" s="454" customFormat="1" ht="14.25" customHeight="1" thickBot="1">
      <c r="A20" s="452"/>
      <c r="B20" s="57" t="s">
        <v>77</v>
      </c>
      <c r="C20" s="3"/>
      <c r="D20" s="592"/>
      <c r="E20" s="3"/>
      <c r="F20" s="596" t="s">
        <v>29</v>
      </c>
      <c r="G20" s="3"/>
      <c r="H20" s="597"/>
      <c r="I20" s="3"/>
      <c r="J20" s="600"/>
      <c r="K20" s="3"/>
      <c r="L20" s="610">
        <f t="shared" si="1"/>
        <v>0</v>
      </c>
      <c r="M20" s="452"/>
      <c r="N20" s="612">
        <f>L20*J6</f>
        <v>0</v>
      </c>
      <c r="O20" s="452"/>
      <c r="P20" s="612" t="e">
        <f>IF(#REF!&gt;=7.6%,-(0.0165+0.076)*N20,0)</f>
        <v>#REF!</v>
      </c>
      <c r="Q20" s="452"/>
      <c r="R20" s="612" t="e">
        <f t="shared" si="0"/>
        <v>#REF!</v>
      </c>
      <c r="S20" s="453"/>
    </row>
    <row r="21" spans="1:20" ht="14.25" customHeight="1" thickBot="1">
      <c r="A21" s="447"/>
      <c r="B21" s="628" t="s">
        <v>242</v>
      </c>
      <c r="C21" s="3"/>
      <c r="D21" s="454"/>
      <c r="E21" s="3"/>
      <c r="F21" s="457"/>
      <c r="G21" s="3"/>
      <c r="H21" s="599"/>
      <c r="I21" s="3"/>
      <c r="J21" s="510">
        <v>2.5000000000000001E-3</v>
      </c>
      <c r="K21" s="3"/>
      <c r="L21" s="611">
        <f>IF(H21&gt;0,J21*(R6-(D13*J13))/H21,0)</f>
        <v>0</v>
      </c>
      <c r="M21" s="447"/>
      <c r="N21" s="613">
        <f>L21*J6</f>
        <v>0</v>
      </c>
      <c r="O21" s="447"/>
      <c r="P21" s="613" t="e">
        <f>IF(#REF!&gt;=7.6%,-(0.0165+0.076)*N21,0)</f>
        <v>#REF!</v>
      </c>
      <c r="Q21" s="447"/>
      <c r="R21" s="613" t="e">
        <f t="shared" si="0"/>
        <v>#REF!</v>
      </c>
      <c r="S21" s="448"/>
    </row>
    <row r="22" spans="1:20" ht="4.5" customHeight="1">
      <c r="A22" s="447"/>
      <c r="B22" s="447"/>
      <c r="C22" s="447"/>
      <c r="D22" s="447"/>
      <c r="E22" s="3"/>
      <c r="F22" s="4"/>
      <c r="G22" s="4"/>
      <c r="H22" s="4"/>
      <c r="I22" s="4"/>
      <c r="J22" s="4"/>
      <c r="K22" s="3"/>
      <c r="L22" s="4"/>
      <c r="M22" s="447"/>
      <c r="N22" s="447"/>
      <c r="O22" s="447"/>
      <c r="P22" s="447"/>
      <c r="Q22" s="447"/>
      <c r="R22" s="447"/>
      <c r="S22" s="448"/>
    </row>
    <row r="23" spans="1:20" s="454" customFormat="1" ht="16.5" customHeight="1" thickBot="1">
      <c r="A23" s="452"/>
      <c r="B23" s="3"/>
      <c r="C23" s="3"/>
      <c r="D23" s="43"/>
      <c r="E23" s="3"/>
      <c r="F23" s="3"/>
      <c r="G23" s="3"/>
      <c r="H23" s="458"/>
      <c r="I23" s="35"/>
      <c r="J23" s="629" t="s">
        <v>113</v>
      </c>
      <c r="K23" s="459"/>
      <c r="L23" s="614">
        <f>SUM(L12:L20)</f>
        <v>0</v>
      </c>
      <c r="M23" s="452"/>
      <c r="N23" s="615">
        <f>SUM(N12:N20)</f>
        <v>0</v>
      </c>
      <c r="O23" s="452"/>
      <c r="P23" s="615" t="e">
        <f>SUM(P12:P20)</f>
        <v>#REF!</v>
      </c>
      <c r="Q23" s="452"/>
      <c r="R23" s="615" t="e">
        <f>SUM(R12:R21)</f>
        <v>#REF!</v>
      </c>
      <c r="S23" s="453"/>
      <c r="T23" s="460"/>
    </row>
    <row r="24" spans="1:20" ht="8.25" customHeight="1">
      <c r="A24" s="447"/>
      <c r="B24" s="4"/>
      <c r="C24" s="4"/>
      <c r="D24" s="10"/>
      <c r="E24" s="3"/>
      <c r="F24" s="461"/>
      <c r="G24" s="4"/>
      <c r="H24" s="447"/>
      <c r="I24" s="447"/>
      <c r="J24" s="462"/>
      <c r="K24" s="3"/>
      <c r="L24" s="4"/>
      <c r="M24" s="447"/>
      <c r="N24" s="447"/>
      <c r="O24" s="447"/>
      <c r="P24" s="447"/>
      <c r="Q24" s="447"/>
      <c r="R24" s="447"/>
      <c r="S24" s="448"/>
    </row>
    <row r="25" spans="1:20" s="464" customFormat="1" ht="16.5" customHeight="1" thickBot="1">
      <c r="A25" s="449"/>
      <c r="B25" s="586"/>
      <c r="C25" s="587"/>
      <c r="D25" s="587"/>
      <c r="E25" s="587"/>
      <c r="F25" s="587"/>
      <c r="G25" s="588"/>
      <c r="H25" s="587"/>
      <c r="I25" s="587"/>
      <c r="J25" s="603" t="s">
        <v>44</v>
      </c>
      <c r="K25" s="587"/>
      <c r="L25" s="587"/>
      <c r="M25" s="588"/>
      <c r="N25" s="588"/>
      <c r="O25" s="588"/>
      <c r="P25" s="588"/>
      <c r="Q25" s="588"/>
      <c r="R25" s="589"/>
      <c r="S25" s="463"/>
    </row>
    <row r="26" spans="1:20" ht="13.5" customHeight="1">
      <c r="A26" s="447"/>
      <c r="B26" s="6"/>
      <c r="C26" s="6"/>
      <c r="D26" s="6"/>
      <c r="E26" s="6"/>
      <c r="F26" s="6"/>
      <c r="G26" s="6"/>
      <c r="H26" s="6"/>
      <c r="I26" s="6"/>
      <c r="J26" s="616" t="s">
        <v>82</v>
      </c>
      <c r="K26" s="465"/>
      <c r="L26" s="616" t="s">
        <v>83</v>
      </c>
      <c r="M26" s="447"/>
      <c r="N26" s="447"/>
      <c r="O26" s="447"/>
      <c r="P26" s="447"/>
      <c r="Q26" s="447"/>
      <c r="R26" s="447"/>
      <c r="S26" s="448"/>
    </row>
    <row r="27" spans="1:20" ht="16.5" customHeight="1" thickBot="1">
      <c r="A27" s="447"/>
      <c r="B27" s="90" t="s">
        <v>243</v>
      </c>
      <c r="C27" s="619"/>
      <c r="D27" s="619"/>
      <c r="E27" s="619"/>
      <c r="F27" s="619"/>
      <c r="G27" s="619"/>
      <c r="H27" s="619"/>
      <c r="I27" s="6"/>
      <c r="J27" s="601"/>
      <c r="K27" s="6"/>
      <c r="L27" s="617">
        <f>J27/12</f>
        <v>0</v>
      </c>
      <c r="M27" s="447"/>
      <c r="N27" s="447"/>
      <c r="O27" s="447"/>
      <c r="P27" s="447"/>
      <c r="Q27" s="447"/>
      <c r="R27" s="447"/>
      <c r="S27" s="448"/>
    </row>
    <row r="28" spans="1:20" ht="3.75" customHeight="1">
      <c r="A28" s="447"/>
      <c r="B28" s="619"/>
      <c r="C28" s="619"/>
      <c r="D28" s="619"/>
      <c r="E28" s="619"/>
      <c r="F28" s="619"/>
      <c r="G28" s="619"/>
      <c r="H28" s="619"/>
      <c r="I28" s="6"/>
      <c r="J28" s="6"/>
      <c r="K28" s="6"/>
      <c r="L28" s="618"/>
      <c r="M28" s="447"/>
      <c r="N28" s="447"/>
      <c r="O28" s="447"/>
      <c r="P28" s="447"/>
      <c r="Q28" s="447"/>
      <c r="R28" s="447"/>
      <c r="S28" s="448"/>
    </row>
    <row r="29" spans="1:20" ht="16.5" customHeight="1" thickBot="1">
      <c r="A29" s="447"/>
      <c r="B29" s="91" t="s">
        <v>78</v>
      </c>
      <c r="C29" s="619"/>
      <c r="D29" s="619"/>
      <c r="E29" s="619"/>
      <c r="F29" s="619"/>
      <c r="G29" s="619"/>
      <c r="H29" s="619"/>
      <c r="I29" s="6"/>
      <c r="J29" s="601"/>
      <c r="K29" s="6"/>
      <c r="L29" s="617">
        <f>J29/12</f>
        <v>0</v>
      </c>
      <c r="M29" s="447"/>
      <c r="N29" s="447"/>
      <c r="O29" s="447"/>
      <c r="P29" s="516" t="s">
        <v>183</v>
      </c>
      <c r="Q29" s="447"/>
      <c r="R29" s="622">
        <f>L27+L29</f>
        <v>0</v>
      </c>
      <c r="S29" s="448"/>
    </row>
    <row r="30" spans="1:20">
      <c r="A30" s="447"/>
      <c r="B30" s="4"/>
      <c r="C30" s="4"/>
      <c r="D30" s="10"/>
      <c r="E30" s="3"/>
      <c r="F30" s="4"/>
      <c r="G30" s="4"/>
      <c r="H30" s="449"/>
      <c r="I30" s="449"/>
      <c r="J30" s="462"/>
      <c r="K30" s="3"/>
      <c r="L30" s="4"/>
      <c r="M30" s="447"/>
      <c r="N30" s="447"/>
      <c r="O30" s="447"/>
      <c r="P30" s="447"/>
      <c r="Q30" s="447"/>
      <c r="R30" s="447"/>
      <c r="S30" s="448"/>
    </row>
    <row r="31" spans="1:20" ht="21.75" customHeight="1" thickBot="1">
      <c r="A31" s="447"/>
      <c r="B31" s="447"/>
      <c r="C31" s="447"/>
      <c r="D31" s="447"/>
      <c r="E31" s="3"/>
      <c r="F31" s="4"/>
      <c r="G31" s="4"/>
      <c r="H31" s="449"/>
      <c r="I31" s="449"/>
      <c r="J31" s="447"/>
      <c r="K31" s="466"/>
      <c r="L31" s="447"/>
      <c r="M31" s="447"/>
      <c r="N31" s="447"/>
      <c r="O31" s="449"/>
      <c r="P31" s="620" t="s">
        <v>45</v>
      </c>
      <c r="Q31" s="590"/>
      <c r="R31" s="621">
        <f>IF(J6&gt;0,R23+R29,0)</f>
        <v>0</v>
      </c>
      <c r="S31" s="448"/>
    </row>
    <row r="32" spans="1:20"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</row>
    <row r="33" spans="1:19"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</row>
    <row r="37" spans="1:19">
      <c r="A37" s="447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8"/>
    </row>
    <row r="38" spans="1:19" ht="22.5" customHeight="1" thickBot="1">
      <c r="A38" s="447"/>
      <c r="B38" s="1078" t="s">
        <v>414</v>
      </c>
      <c r="C38" s="1079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80"/>
      <c r="S38" s="448"/>
    </row>
    <row r="39" spans="1:19">
      <c r="A39" s="447"/>
      <c r="B39" s="6"/>
      <c r="C39" s="6"/>
      <c r="D39" s="6"/>
      <c r="E39" s="6"/>
      <c r="F39" s="6"/>
      <c r="G39" s="6"/>
      <c r="H39" s="6"/>
      <c r="I39" s="6"/>
      <c r="J39" s="6"/>
      <c r="K39" s="6"/>
      <c r="L39" s="447"/>
      <c r="M39" s="447"/>
      <c r="N39" s="447"/>
      <c r="O39" s="447"/>
      <c r="P39" s="447"/>
      <c r="Q39" s="447"/>
      <c r="R39" s="447"/>
      <c r="S39" s="448"/>
    </row>
    <row r="40" spans="1:19" ht="13.5" thickBot="1">
      <c r="A40" s="447"/>
      <c r="B40" s="623"/>
      <c r="C40" s="57"/>
      <c r="D40" s="624"/>
      <c r="E40" s="68"/>
      <c r="F40" s="625"/>
      <c r="G40" s="626"/>
      <c r="H40" s="64" t="s">
        <v>415</v>
      </c>
      <c r="I40" s="447"/>
      <c r="J40" s="602"/>
      <c r="K40" s="645" t="s">
        <v>507</v>
      </c>
      <c r="L40" s="448"/>
      <c r="N40" s="447"/>
      <c r="O40" s="447"/>
      <c r="P40" s="646" t="s">
        <v>416</v>
      </c>
      <c r="Q40" s="447"/>
      <c r="R40" s="601"/>
      <c r="S40" s="448"/>
    </row>
    <row r="41" spans="1:19">
      <c r="A41" s="447"/>
      <c r="B41" s="3"/>
      <c r="C41" s="3"/>
      <c r="D41" s="8"/>
      <c r="E41" s="17"/>
      <c r="F41" s="449"/>
      <c r="G41" s="3"/>
      <c r="H41" s="449"/>
      <c r="I41" s="449"/>
      <c r="J41" s="450"/>
      <c r="K41" s="447"/>
      <c r="L41" s="451"/>
      <c r="M41" s="447"/>
      <c r="N41" s="447"/>
      <c r="O41" s="447"/>
      <c r="P41" s="447"/>
      <c r="Q41" s="447"/>
      <c r="R41" s="447"/>
      <c r="S41" s="448"/>
    </row>
    <row r="42" spans="1:19" ht="13.5" thickBot="1">
      <c r="A42" s="447"/>
      <c r="B42" s="604"/>
      <c r="C42" s="603"/>
      <c r="D42" s="603"/>
      <c r="E42" s="603"/>
      <c r="F42" s="603"/>
      <c r="G42" s="495"/>
      <c r="H42" s="603"/>
      <c r="I42" s="603"/>
      <c r="J42" s="603" t="s">
        <v>19</v>
      </c>
      <c r="K42" s="603"/>
      <c r="L42" s="603"/>
      <c r="M42" s="495"/>
      <c r="N42" s="495"/>
      <c r="O42" s="495"/>
      <c r="P42" s="495"/>
      <c r="Q42" s="495"/>
      <c r="R42" s="496"/>
      <c r="S42" s="448"/>
    </row>
    <row r="43" spans="1:19">
      <c r="A43" s="447"/>
      <c r="B43" s="3"/>
      <c r="C43" s="3"/>
      <c r="D43" s="3"/>
      <c r="E43" s="3"/>
      <c r="F43" s="4"/>
      <c r="G43" s="4"/>
      <c r="H43" s="4"/>
      <c r="I43" s="4"/>
      <c r="J43" s="4"/>
      <c r="K43" s="3"/>
      <c r="L43" s="447"/>
      <c r="M43" s="447"/>
      <c r="N43" s="447"/>
      <c r="O43" s="447"/>
      <c r="P43" s="447"/>
      <c r="Q43" s="447"/>
      <c r="R43" s="447"/>
      <c r="S43" s="448"/>
    </row>
    <row r="44" spans="1:19" ht="26.25" thickBot="1">
      <c r="A44" s="447"/>
      <c r="B44" s="605" t="s">
        <v>102</v>
      </c>
      <c r="C44" s="606"/>
      <c r="D44" s="603" t="s">
        <v>66</v>
      </c>
      <c r="E44" s="606"/>
      <c r="F44" s="607" t="s">
        <v>67</v>
      </c>
      <c r="G44" s="607"/>
      <c r="H44" s="606" t="s">
        <v>68</v>
      </c>
      <c r="I44" s="537"/>
      <c r="J44" s="603" t="s">
        <v>65</v>
      </c>
      <c r="K44" s="537"/>
      <c r="L44" s="603" t="s">
        <v>417</v>
      </c>
      <c r="M44" s="495"/>
      <c r="N44" s="603" t="s">
        <v>17</v>
      </c>
      <c r="O44" s="495"/>
      <c r="P44" s="608" t="s">
        <v>86</v>
      </c>
      <c r="Q44" s="495"/>
      <c r="R44" s="609" t="s">
        <v>113</v>
      </c>
      <c r="S44" s="448"/>
    </row>
    <row r="45" spans="1:19">
      <c r="A45" s="447"/>
      <c r="B45" s="42"/>
      <c r="C45" s="42"/>
      <c r="D45" s="6"/>
      <c r="E45" s="42"/>
      <c r="F45" s="6"/>
      <c r="G45" s="6"/>
      <c r="H45" s="42"/>
      <c r="I45" s="3"/>
      <c r="J45" s="6"/>
      <c r="K45" s="3"/>
      <c r="L45" s="4"/>
      <c r="M45" s="447"/>
      <c r="N45" s="447"/>
      <c r="O45" s="447"/>
      <c r="P45" s="447"/>
      <c r="Q45" s="447"/>
      <c r="R45" s="447"/>
      <c r="S45" s="448"/>
    </row>
    <row r="46" spans="1:19">
      <c r="A46" s="452"/>
      <c r="B46" s="68" t="s">
        <v>76</v>
      </c>
      <c r="C46" s="42"/>
      <c r="D46" s="591">
        <v>4</v>
      </c>
      <c r="E46" s="17"/>
      <c r="F46" s="593" t="s">
        <v>29</v>
      </c>
      <c r="G46" s="42"/>
      <c r="H46" s="597"/>
      <c r="I46" s="3"/>
      <c r="J46" s="600"/>
      <c r="K46" s="3"/>
      <c r="L46" s="610">
        <f>IF(H46&gt;0,(J46*D46)/H46,0)</f>
        <v>0</v>
      </c>
      <c r="M46" s="452"/>
      <c r="N46" s="612">
        <f>L46*J40</f>
        <v>0</v>
      </c>
      <c r="O46" s="452"/>
      <c r="P46" s="612" t="e">
        <f>IF(#REF!&gt;=7.6%,-(0.0165+0.076)*N46,0)</f>
        <v>#REF!</v>
      </c>
      <c r="Q46" s="452"/>
      <c r="R46" s="612" t="e">
        <f t="shared" ref="R46:R55" si="2">N46+P46</f>
        <v>#REF!</v>
      </c>
      <c r="S46" s="453"/>
    </row>
    <row r="47" spans="1:19">
      <c r="A47" s="452"/>
      <c r="B47" s="68" t="s">
        <v>75</v>
      </c>
      <c r="C47" s="17"/>
      <c r="D47" s="591">
        <v>1</v>
      </c>
      <c r="E47" s="17"/>
      <c r="F47" s="593" t="s">
        <v>64</v>
      </c>
      <c r="G47" s="42"/>
      <c r="H47" s="598"/>
      <c r="I47" s="3"/>
      <c r="J47" s="600"/>
      <c r="K47" s="3"/>
      <c r="L47" s="610">
        <f>IF(H47&gt;0,(J47*D47)/H47,0)</f>
        <v>0</v>
      </c>
      <c r="M47" s="452"/>
      <c r="N47" s="612">
        <f>L47*J40</f>
        <v>0</v>
      </c>
      <c r="O47" s="452"/>
      <c r="P47" s="612" t="e">
        <f>IF(#REF!&gt;=7.6%,-(0.0165+0.076)*N47,0)</f>
        <v>#REF!</v>
      </c>
      <c r="Q47" s="452"/>
      <c r="R47" s="612" t="e">
        <f t="shared" si="2"/>
        <v>#REF!</v>
      </c>
      <c r="S47" s="453"/>
    </row>
    <row r="48" spans="1:19">
      <c r="A48" s="452"/>
      <c r="B48" s="68" t="s">
        <v>69</v>
      </c>
      <c r="C48" s="17"/>
      <c r="D48" s="591"/>
      <c r="E48" s="17"/>
      <c r="F48" s="594" t="s">
        <v>64</v>
      </c>
      <c r="G48" s="455"/>
      <c r="H48" s="597"/>
      <c r="I48" s="3"/>
      <c r="J48" s="600"/>
      <c r="K48" s="3"/>
      <c r="L48" s="610">
        <f t="shared" ref="L48:L54" si="3">IF(H48&gt;0,(J48*D48)/H48,0)</f>
        <v>0</v>
      </c>
      <c r="M48" s="452"/>
      <c r="N48" s="612">
        <f>L48*J40</f>
        <v>0</v>
      </c>
      <c r="O48" s="452"/>
      <c r="P48" s="612" t="e">
        <f>IF(#REF!&gt;=7.6%,-(0.0165+0.076)*N48,0)</f>
        <v>#REF!</v>
      </c>
      <c r="Q48" s="452"/>
      <c r="R48" s="612" t="e">
        <f t="shared" si="2"/>
        <v>#REF!</v>
      </c>
      <c r="S48" s="453"/>
    </row>
    <row r="49" spans="1:19">
      <c r="A49" s="452"/>
      <c r="B49" s="68" t="s">
        <v>70</v>
      </c>
      <c r="C49" s="17"/>
      <c r="D49" s="591">
        <v>1</v>
      </c>
      <c r="E49" s="17"/>
      <c r="F49" s="594" t="s">
        <v>64</v>
      </c>
      <c r="G49" s="455"/>
      <c r="H49" s="597"/>
      <c r="I49" s="3"/>
      <c r="J49" s="600"/>
      <c r="K49" s="3"/>
      <c r="L49" s="610">
        <f t="shared" si="3"/>
        <v>0</v>
      </c>
      <c r="M49" s="452"/>
      <c r="N49" s="612">
        <f>L49*J40</f>
        <v>0</v>
      </c>
      <c r="O49" s="452"/>
      <c r="P49" s="612" t="e">
        <f>IF(#REF!&gt;=7.6%,-(0.0165+0.076)*N49,0)</f>
        <v>#REF!</v>
      </c>
      <c r="Q49" s="452"/>
      <c r="R49" s="612" t="e">
        <f t="shared" si="2"/>
        <v>#REF!</v>
      </c>
      <c r="S49" s="453"/>
    </row>
    <row r="50" spans="1:19">
      <c r="A50" s="452"/>
      <c r="B50" s="68" t="s">
        <v>71</v>
      </c>
      <c r="C50" s="17"/>
      <c r="D50" s="591">
        <v>1</v>
      </c>
      <c r="E50" s="17"/>
      <c r="F50" s="594" t="s">
        <v>64</v>
      </c>
      <c r="G50" s="455"/>
      <c r="H50" s="597"/>
      <c r="I50" s="3"/>
      <c r="J50" s="600"/>
      <c r="K50" s="3"/>
      <c r="L50" s="610">
        <f t="shared" si="3"/>
        <v>0</v>
      </c>
      <c r="M50" s="452"/>
      <c r="N50" s="612">
        <f>L50*J40</f>
        <v>0</v>
      </c>
      <c r="O50" s="452"/>
      <c r="P50" s="612" t="e">
        <f>IF(#REF!&gt;=7.6%,-(0.0165+0.076)*N50,0)</f>
        <v>#REF!</v>
      </c>
      <c r="Q50" s="452"/>
      <c r="R50" s="612" t="e">
        <f t="shared" si="2"/>
        <v>#REF!</v>
      </c>
      <c r="S50" s="453"/>
    </row>
    <row r="51" spans="1:19">
      <c r="A51" s="452"/>
      <c r="B51" s="68" t="s">
        <v>72</v>
      </c>
      <c r="C51" s="17"/>
      <c r="D51" s="591">
        <v>1</v>
      </c>
      <c r="E51" s="17"/>
      <c r="F51" s="594" t="s">
        <v>64</v>
      </c>
      <c r="G51" s="455"/>
      <c r="H51" s="597"/>
      <c r="I51" s="3"/>
      <c r="J51" s="600"/>
      <c r="K51" s="3"/>
      <c r="L51" s="610">
        <f t="shared" si="3"/>
        <v>0</v>
      </c>
      <c r="M51" s="452"/>
      <c r="N51" s="612">
        <f>L51*J40</f>
        <v>0</v>
      </c>
      <c r="O51" s="452"/>
      <c r="P51" s="612" t="e">
        <f>IF(#REF!&gt;=7.6%,-(0.0165+0.076)*N51,0)</f>
        <v>#REF!</v>
      </c>
      <c r="Q51" s="452"/>
      <c r="R51" s="612" t="e">
        <f t="shared" si="2"/>
        <v>#REF!</v>
      </c>
      <c r="S51" s="453"/>
    </row>
    <row r="52" spans="1:19">
      <c r="A52" s="452"/>
      <c r="B52" s="627" t="s">
        <v>73</v>
      </c>
      <c r="C52" s="456"/>
      <c r="D52" s="591">
        <v>1</v>
      </c>
      <c r="E52" s="456"/>
      <c r="F52" s="595" t="s">
        <v>64</v>
      </c>
      <c r="G52" s="457"/>
      <c r="H52" s="597"/>
      <c r="I52" s="3"/>
      <c r="J52" s="600"/>
      <c r="K52" s="3"/>
      <c r="L52" s="610">
        <f t="shared" si="3"/>
        <v>0</v>
      </c>
      <c r="M52" s="452"/>
      <c r="N52" s="612">
        <f>L52*J40</f>
        <v>0</v>
      </c>
      <c r="O52" s="452"/>
      <c r="P52" s="612" t="e">
        <f>IF(#REF!&gt;=7.6%,-(0.0165+0.076)*N52,0)</f>
        <v>#REF!</v>
      </c>
      <c r="Q52" s="452"/>
      <c r="R52" s="612" t="e">
        <f t="shared" si="2"/>
        <v>#REF!</v>
      </c>
      <c r="S52" s="453"/>
    </row>
    <row r="53" spans="1:19">
      <c r="A53" s="452"/>
      <c r="B53" s="68" t="s">
        <v>74</v>
      </c>
      <c r="C53" s="17"/>
      <c r="D53" s="591">
        <v>1</v>
      </c>
      <c r="E53" s="17"/>
      <c r="F53" s="595" t="s">
        <v>29</v>
      </c>
      <c r="G53" s="457"/>
      <c r="H53" s="597"/>
      <c r="I53" s="3"/>
      <c r="J53" s="600"/>
      <c r="K53" s="3"/>
      <c r="L53" s="610">
        <f t="shared" si="3"/>
        <v>0</v>
      </c>
      <c r="M53" s="452"/>
      <c r="N53" s="612">
        <f>L53*J40</f>
        <v>0</v>
      </c>
      <c r="O53" s="452"/>
      <c r="P53" s="612" t="e">
        <f>IF(#REF!&gt;=7.6%,-(0.0165+0.076)*N53,0)</f>
        <v>#REF!</v>
      </c>
      <c r="Q53" s="452"/>
      <c r="R53" s="612" t="e">
        <f t="shared" si="2"/>
        <v>#REF!</v>
      </c>
      <c r="S53" s="453"/>
    </row>
    <row r="54" spans="1:19" ht="13.5" thickBot="1">
      <c r="A54" s="452"/>
      <c r="B54" s="57" t="s">
        <v>77</v>
      </c>
      <c r="C54" s="3"/>
      <c r="D54" s="592"/>
      <c r="E54" s="3"/>
      <c r="F54" s="596" t="s">
        <v>29</v>
      </c>
      <c r="G54" s="3"/>
      <c r="H54" s="597"/>
      <c r="I54" s="3"/>
      <c r="J54" s="600"/>
      <c r="K54" s="3"/>
      <c r="L54" s="610">
        <f t="shared" si="3"/>
        <v>0</v>
      </c>
      <c r="M54" s="452"/>
      <c r="N54" s="612">
        <f>L54*J40</f>
        <v>0</v>
      </c>
      <c r="O54" s="452"/>
      <c r="P54" s="612" t="e">
        <f>IF(#REF!&gt;=7.6%,-(0.0165+0.076)*N54,0)</f>
        <v>#REF!</v>
      </c>
      <c r="Q54" s="452"/>
      <c r="R54" s="612" t="e">
        <f t="shared" si="2"/>
        <v>#REF!</v>
      </c>
      <c r="S54" s="453"/>
    </row>
    <row r="55" spans="1:19" ht="13.5" thickBot="1">
      <c r="A55" s="447"/>
      <c r="B55" s="628" t="s">
        <v>242</v>
      </c>
      <c r="C55" s="3"/>
      <c r="D55" s="454"/>
      <c r="E55" s="3"/>
      <c r="F55" s="457"/>
      <c r="G55" s="3"/>
      <c r="H55" s="599"/>
      <c r="I55" s="3"/>
      <c r="J55" s="510">
        <v>2.5000000000000001E-3</v>
      </c>
      <c r="K55" s="3"/>
      <c r="L55" s="611">
        <f>IF(H55&gt;0,J55*(R40-(D47*J47))/H55,0)</f>
        <v>0</v>
      </c>
      <c r="M55" s="447"/>
      <c r="N55" s="613">
        <f>L55*J40</f>
        <v>0</v>
      </c>
      <c r="O55" s="447"/>
      <c r="P55" s="613" t="e">
        <f>IF(#REF!&gt;=7.6%,-(0.0165+0.076)*N55,0)</f>
        <v>#REF!</v>
      </c>
      <c r="Q55" s="447"/>
      <c r="R55" s="613" t="e">
        <f t="shared" si="2"/>
        <v>#REF!</v>
      </c>
      <c r="S55" s="448"/>
    </row>
    <row r="56" spans="1:19">
      <c r="A56" s="447"/>
      <c r="B56" s="447"/>
      <c r="C56" s="447"/>
      <c r="D56" s="447"/>
      <c r="E56" s="3"/>
      <c r="F56" s="4"/>
      <c r="G56" s="4"/>
      <c r="H56" s="4"/>
      <c r="I56" s="4"/>
      <c r="J56" s="4"/>
      <c r="K56" s="3"/>
      <c r="L56" s="4"/>
      <c r="M56" s="447"/>
      <c r="N56" s="447"/>
      <c r="O56" s="447"/>
      <c r="P56" s="447"/>
      <c r="Q56" s="447"/>
      <c r="R56" s="447"/>
      <c r="S56" s="448"/>
    </row>
    <row r="57" spans="1:19" ht="13.5" thickBot="1">
      <c r="A57" s="452"/>
      <c r="B57" s="3"/>
      <c r="C57" s="3"/>
      <c r="D57" s="43"/>
      <c r="E57" s="3"/>
      <c r="F57" s="3"/>
      <c r="G57" s="3"/>
      <c r="H57" s="458"/>
      <c r="I57" s="35"/>
      <c r="J57" s="629" t="s">
        <v>113</v>
      </c>
      <c r="K57" s="459"/>
      <c r="L57" s="614">
        <f>SUM(L46:L54)</f>
        <v>0</v>
      </c>
      <c r="M57" s="452"/>
      <c r="N57" s="615">
        <f>SUM(N46:N54)</f>
        <v>0</v>
      </c>
      <c r="O57" s="452"/>
      <c r="P57" s="615" t="e">
        <f>SUM(P46:P54)</f>
        <v>#REF!</v>
      </c>
      <c r="Q57" s="452"/>
      <c r="R57" s="615" t="e">
        <f>SUM(R46:R55)</f>
        <v>#REF!</v>
      </c>
      <c r="S57" s="453"/>
    </row>
    <row r="58" spans="1:19">
      <c r="A58" s="447"/>
      <c r="B58" s="4"/>
      <c r="C58" s="4"/>
      <c r="D58" s="10"/>
      <c r="E58" s="3"/>
      <c r="F58" s="461"/>
      <c r="G58" s="4"/>
      <c r="H58" s="447"/>
      <c r="I58" s="447"/>
      <c r="J58" s="462"/>
      <c r="K58" s="3"/>
      <c r="L58" s="4"/>
      <c r="M58" s="447"/>
      <c r="N58" s="447"/>
      <c r="O58" s="447"/>
      <c r="P58" s="447"/>
      <c r="Q58" s="447"/>
      <c r="R58" s="447"/>
      <c r="S58" s="448"/>
    </row>
    <row r="59" spans="1:19" ht="13.5" thickBot="1">
      <c r="A59" s="449"/>
      <c r="B59" s="586"/>
      <c r="C59" s="587"/>
      <c r="D59" s="587"/>
      <c r="E59" s="587"/>
      <c r="F59" s="587"/>
      <c r="G59" s="588"/>
      <c r="H59" s="587"/>
      <c r="I59" s="587"/>
      <c r="J59" s="603" t="s">
        <v>44</v>
      </c>
      <c r="K59" s="587"/>
      <c r="L59" s="587"/>
      <c r="M59" s="588"/>
      <c r="N59" s="588"/>
      <c r="O59" s="588"/>
      <c r="P59" s="588"/>
      <c r="Q59" s="588"/>
      <c r="R59" s="589"/>
      <c r="S59" s="463"/>
    </row>
    <row r="60" spans="1:19">
      <c r="A60" s="447"/>
      <c r="B60" s="6"/>
      <c r="C60" s="6"/>
      <c r="D60" s="6"/>
      <c r="E60" s="6"/>
      <c r="F60" s="6"/>
      <c r="G60" s="6"/>
      <c r="H60" s="6"/>
      <c r="I60" s="6"/>
      <c r="J60" s="616" t="s">
        <v>82</v>
      </c>
      <c r="K60" s="465"/>
      <c r="L60" s="616" t="s">
        <v>83</v>
      </c>
      <c r="M60" s="447"/>
      <c r="N60" s="447"/>
      <c r="O60" s="447"/>
      <c r="P60" s="447"/>
      <c r="Q60" s="447"/>
      <c r="R60" s="447"/>
      <c r="S60" s="448"/>
    </row>
    <row r="61" spans="1:19" ht="13.5" thickBot="1">
      <c r="A61" s="447"/>
      <c r="B61" s="90" t="s">
        <v>243</v>
      </c>
      <c r="C61" s="619"/>
      <c r="D61" s="619"/>
      <c r="E61" s="619"/>
      <c r="F61" s="619"/>
      <c r="G61" s="619"/>
      <c r="H61" s="619"/>
      <c r="I61" s="6"/>
      <c r="J61" s="601"/>
      <c r="K61" s="6"/>
      <c r="L61" s="617">
        <f>J61/12</f>
        <v>0</v>
      </c>
      <c r="M61" s="447"/>
      <c r="N61" s="447"/>
      <c r="O61" s="447"/>
      <c r="P61" s="447"/>
      <c r="Q61" s="447"/>
      <c r="R61" s="447"/>
      <c r="S61" s="448"/>
    </row>
    <row r="62" spans="1:19">
      <c r="A62" s="447"/>
      <c r="B62" s="619"/>
      <c r="C62" s="619"/>
      <c r="D62" s="619"/>
      <c r="E62" s="619"/>
      <c r="F62" s="619"/>
      <c r="G62" s="619"/>
      <c r="H62" s="619"/>
      <c r="I62" s="6"/>
      <c r="J62" s="6"/>
      <c r="K62" s="6"/>
      <c r="L62" s="618"/>
      <c r="M62" s="447"/>
      <c r="N62" s="447"/>
      <c r="O62" s="447"/>
      <c r="P62" s="447"/>
      <c r="Q62" s="447"/>
      <c r="R62" s="447"/>
      <c r="S62" s="448"/>
    </row>
    <row r="63" spans="1:19" ht="13.5" thickBot="1">
      <c r="A63" s="447"/>
      <c r="B63" s="91" t="s">
        <v>78</v>
      </c>
      <c r="C63" s="619"/>
      <c r="D63" s="619"/>
      <c r="E63" s="619"/>
      <c r="F63" s="619"/>
      <c r="G63" s="619"/>
      <c r="H63" s="619"/>
      <c r="I63" s="6"/>
      <c r="J63" s="601"/>
      <c r="K63" s="6"/>
      <c r="L63" s="617">
        <f>J63/12</f>
        <v>0</v>
      </c>
      <c r="M63" s="447"/>
      <c r="N63" s="447"/>
      <c r="O63" s="447"/>
      <c r="P63" s="516" t="s">
        <v>183</v>
      </c>
      <c r="Q63" s="447"/>
      <c r="R63" s="622">
        <f>L61+L63</f>
        <v>0</v>
      </c>
      <c r="S63" s="448"/>
    </row>
    <row r="64" spans="1:19">
      <c r="A64" s="447"/>
      <c r="B64" s="4"/>
      <c r="C64" s="4"/>
      <c r="D64" s="10"/>
      <c r="E64" s="3"/>
      <c r="F64" s="4"/>
      <c r="G64" s="4"/>
      <c r="H64" s="449"/>
      <c r="I64" s="449"/>
      <c r="J64" s="462"/>
      <c r="K64" s="3"/>
      <c r="L64" s="4"/>
      <c r="M64" s="447"/>
      <c r="N64" s="447"/>
      <c r="O64" s="447"/>
      <c r="P64" s="447"/>
      <c r="Q64" s="447"/>
      <c r="R64" s="447"/>
      <c r="S64" s="448"/>
    </row>
    <row r="65" spans="1:19" ht="15.75" thickBot="1">
      <c r="A65" s="447"/>
      <c r="B65" s="447"/>
      <c r="C65" s="447"/>
      <c r="D65" s="447"/>
      <c r="E65" s="3"/>
      <c r="F65" s="4"/>
      <c r="G65" s="4"/>
      <c r="H65" s="449"/>
      <c r="I65" s="449"/>
      <c r="J65" s="447"/>
      <c r="K65" s="466"/>
      <c r="L65" s="447"/>
      <c r="M65" s="447"/>
      <c r="N65" s="447"/>
      <c r="O65" s="449"/>
      <c r="P65" s="620" t="s">
        <v>45</v>
      </c>
      <c r="Q65" s="590"/>
      <c r="R65" s="621">
        <f>IF(J40&gt;0,R57+R63,0)</f>
        <v>0</v>
      </c>
      <c r="S65" s="448"/>
    </row>
    <row r="66" spans="1:19"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</row>
    <row r="67" spans="1:19">
      <c r="A67" s="447"/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8"/>
    </row>
    <row r="68" spans="1:19" ht="13.5" thickBot="1">
      <c r="A68" s="447"/>
      <c r="B68" s="1078" t="s">
        <v>414</v>
      </c>
      <c r="C68" s="1079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80"/>
      <c r="S68" s="448"/>
    </row>
    <row r="69" spans="1:19">
      <c r="A69" s="447"/>
      <c r="B69" s="6"/>
      <c r="C69" s="6"/>
      <c r="D69" s="6"/>
      <c r="E69" s="6"/>
      <c r="F69" s="6"/>
      <c r="G69" s="6"/>
      <c r="H69" s="6"/>
      <c r="I69" s="6"/>
      <c r="J69" s="6"/>
      <c r="K69" s="6"/>
      <c r="L69" s="447"/>
      <c r="M69" s="447"/>
      <c r="N69" s="447"/>
      <c r="O69" s="447"/>
      <c r="P69" s="447"/>
      <c r="Q69" s="447"/>
      <c r="R69" s="447"/>
      <c r="S69" s="448"/>
    </row>
    <row r="70" spans="1:19" ht="13.5" thickBot="1">
      <c r="A70" s="447"/>
      <c r="B70" s="623"/>
      <c r="C70" s="57"/>
      <c r="D70" s="624"/>
      <c r="E70" s="68"/>
      <c r="F70" s="625"/>
      <c r="G70" s="626"/>
      <c r="H70" s="64" t="s">
        <v>415</v>
      </c>
      <c r="I70" s="447"/>
      <c r="J70" s="602"/>
      <c r="K70" s="645" t="s">
        <v>507</v>
      </c>
      <c r="L70" s="448"/>
      <c r="N70" s="447"/>
      <c r="O70" s="447"/>
      <c r="P70" s="646" t="s">
        <v>416</v>
      </c>
      <c r="Q70" s="447"/>
      <c r="R70" s="601"/>
      <c r="S70" s="448"/>
    </row>
    <row r="71" spans="1:19">
      <c r="A71" s="447"/>
      <c r="B71" s="3"/>
      <c r="C71" s="3"/>
      <c r="D71" s="8"/>
      <c r="E71" s="17"/>
      <c r="F71" s="449"/>
      <c r="G71" s="3"/>
      <c r="H71" s="449"/>
      <c r="I71" s="449"/>
      <c r="J71" s="450"/>
      <c r="K71" s="447"/>
      <c r="L71" s="451"/>
      <c r="M71" s="447"/>
      <c r="N71" s="447"/>
      <c r="O71" s="447"/>
      <c r="P71" s="447"/>
      <c r="Q71" s="447"/>
      <c r="R71" s="447"/>
      <c r="S71" s="448"/>
    </row>
    <row r="72" spans="1:19" ht="13.5" thickBot="1">
      <c r="A72" s="447"/>
      <c r="B72" s="604"/>
      <c r="C72" s="603"/>
      <c r="D72" s="603"/>
      <c r="E72" s="603"/>
      <c r="F72" s="603"/>
      <c r="G72" s="495"/>
      <c r="H72" s="603"/>
      <c r="I72" s="603"/>
      <c r="J72" s="603" t="s">
        <v>19</v>
      </c>
      <c r="K72" s="603"/>
      <c r="L72" s="603"/>
      <c r="M72" s="495"/>
      <c r="N72" s="495"/>
      <c r="O72" s="495"/>
      <c r="P72" s="495"/>
      <c r="Q72" s="495"/>
      <c r="R72" s="496"/>
      <c r="S72" s="448"/>
    </row>
    <row r="73" spans="1:19">
      <c r="A73" s="447"/>
      <c r="B73" s="3"/>
      <c r="C73" s="3"/>
      <c r="D73" s="3"/>
      <c r="E73" s="3"/>
      <c r="F73" s="4"/>
      <c r="G73" s="4"/>
      <c r="H73" s="4"/>
      <c r="I73" s="4"/>
      <c r="J73" s="4"/>
      <c r="K73" s="3"/>
      <c r="L73" s="447"/>
      <c r="M73" s="447"/>
      <c r="N73" s="447"/>
      <c r="O73" s="447"/>
      <c r="P73" s="447"/>
      <c r="Q73" s="447"/>
      <c r="R73" s="447"/>
      <c r="S73" s="448"/>
    </row>
    <row r="74" spans="1:19" ht="26.25" thickBot="1">
      <c r="A74" s="447"/>
      <c r="B74" s="605" t="s">
        <v>102</v>
      </c>
      <c r="C74" s="606"/>
      <c r="D74" s="603" t="s">
        <v>66</v>
      </c>
      <c r="E74" s="606"/>
      <c r="F74" s="607" t="s">
        <v>67</v>
      </c>
      <c r="G74" s="607"/>
      <c r="H74" s="606" t="s">
        <v>68</v>
      </c>
      <c r="I74" s="537"/>
      <c r="J74" s="603" t="s">
        <v>65</v>
      </c>
      <c r="K74" s="537"/>
      <c r="L74" s="603" t="s">
        <v>417</v>
      </c>
      <c r="M74" s="495"/>
      <c r="N74" s="603" t="s">
        <v>17</v>
      </c>
      <c r="O74" s="495"/>
      <c r="P74" s="608" t="s">
        <v>86</v>
      </c>
      <c r="Q74" s="495"/>
      <c r="R74" s="609" t="s">
        <v>113</v>
      </c>
      <c r="S74" s="448"/>
    </row>
    <row r="75" spans="1:19">
      <c r="A75" s="447"/>
      <c r="B75" s="42"/>
      <c r="C75" s="42"/>
      <c r="D75" s="6"/>
      <c r="E75" s="42"/>
      <c r="F75" s="6"/>
      <c r="G75" s="6"/>
      <c r="H75" s="42"/>
      <c r="I75" s="3"/>
      <c r="J75" s="6"/>
      <c r="K75" s="3"/>
      <c r="L75" s="4"/>
      <c r="M75" s="447"/>
      <c r="N75" s="447"/>
      <c r="O75" s="447"/>
      <c r="P75" s="447"/>
      <c r="Q75" s="447"/>
      <c r="R75" s="447"/>
      <c r="S75" s="448"/>
    </row>
    <row r="76" spans="1:19">
      <c r="A76" s="452"/>
      <c r="B76" s="68" t="s">
        <v>76</v>
      </c>
      <c r="C76" s="42"/>
      <c r="D76" s="591">
        <v>4</v>
      </c>
      <c r="E76" s="17"/>
      <c r="F76" s="593" t="s">
        <v>29</v>
      </c>
      <c r="G76" s="42"/>
      <c r="H76" s="597"/>
      <c r="I76" s="3"/>
      <c r="J76" s="600"/>
      <c r="K76" s="3"/>
      <c r="L76" s="610">
        <f>IF(H76&gt;0,(J76*D76)/H76,0)</f>
        <v>0</v>
      </c>
      <c r="M76" s="452"/>
      <c r="N76" s="612">
        <f>L76*J70</f>
        <v>0</v>
      </c>
      <c r="O76" s="452"/>
      <c r="P76" s="612" t="e">
        <f>IF(#REF!&gt;=7.6%,-(0.0165+0.076)*N76,0)</f>
        <v>#REF!</v>
      </c>
      <c r="Q76" s="452"/>
      <c r="R76" s="612" t="e">
        <f t="shared" ref="R76:R85" si="4">N76+P76</f>
        <v>#REF!</v>
      </c>
      <c r="S76" s="453"/>
    </row>
    <row r="77" spans="1:19">
      <c r="A77" s="452"/>
      <c r="B77" s="68" t="s">
        <v>75</v>
      </c>
      <c r="C77" s="17"/>
      <c r="D77" s="591">
        <v>1</v>
      </c>
      <c r="E77" s="17"/>
      <c r="F77" s="593" t="s">
        <v>64</v>
      </c>
      <c r="G77" s="42"/>
      <c r="H77" s="598"/>
      <c r="I77" s="3"/>
      <c r="J77" s="600"/>
      <c r="K77" s="3"/>
      <c r="L77" s="610">
        <f>IF(H77&gt;0,(J77*D77)/H77,0)</f>
        <v>0</v>
      </c>
      <c r="M77" s="452"/>
      <c r="N77" s="612">
        <f>L77*J70</f>
        <v>0</v>
      </c>
      <c r="O77" s="452"/>
      <c r="P77" s="612" t="e">
        <f>IF(#REF!&gt;=7.6%,-(0.0165+0.076)*N77,0)</f>
        <v>#REF!</v>
      </c>
      <c r="Q77" s="452"/>
      <c r="R77" s="612" t="e">
        <f t="shared" si="4"/>
        <v>#REF!</v>
      </c>
      <c r="S77" s="453"/>
    </row>
    <row r="78" spans="1:19">
      <c r="A78" s="452"/>
      <c r="B78" s="68" t="s">
        <v>69</v>
      </c>
      <c r="C78" s="17"/>
      <c r="D78" s="591"/>
      <c r="E78" s="17"/>
      <c r="F78" s="594" t="s">
        <v>64</v>
      </c>
      <c r="G78" s="455"/>
      <c r="H78" s="597"/>
      <c r="I78" s="3"/>
      <c r="J78" s="600"/>
      <c r="K78" s="3"/>
      <c r="L78" s="610">
        <f t="shared" ref="L78:L84" si="5">IF(H78&gt;0,(J78*D78)/H78,0)</f>
        <v>0</v>
      </c>
      <c r="M78" s="452"/>
      <c r="N78" s="612">
        <f>L78*J70</f>
        <v>0</v>
      </c>
      <c r="O78" s="452"/>
      <c r="P78" s="612" t="e">
        <f>IF(#REF!&gt;=7.6%,-(0.0165+0.076)*N78,0)</f>
        <v>#REF!</v>
      </c>
      <c r="Q78" s="452"/>
      <c r="R78" s="612" t="e">
        <f t="shared" si="4"/>
        <v>#REF!</v>
      </c>
      <c r="S78" s="453"/>
    </row>
    <row r="79" spans="1:19">
      <c r="A79" s="452"/>
      <c r="B79" s="68" t="s">
        <v>70</v>
      </c>
      <c r="C79" s="17"/>
      <c r="D79" s="591">
        <v>1</v>
      </c>
      <c r="E79" s="17"/>
      <c r="F79" s="594" t="s">
        <v>64</v>
      </c>
      <c r="G79" s="455"/>
      <c r="H79" s="597"/>
      <c r="I79" s="3"/>
      <c r="J79" s="600"/>
      <c r="K79" s="3"/>
      <c r="L79" s="610">
        <f t="shared" si="5"/>
        <v>0</v>
      </c>
      <c r="M79" s="452"/>
      <c r="N79" s="612">
        <f>L79*J70</f>
        <v>0</v>
      </c>
      <c r="O79" s="452"/>
      <c r="P79" s="612" t="e">
        <f>IF(#REF!&gt;=7.6%,-(0.0165+0.076)*N79,0)</f>
        <v>#REF!</v>
      </c>
      <c r="Q79" s="452"/>
      <c r="R79" s="612" t="e">
        <f t="shared" si="4"/>
        <v>#REF!</v>
      </c>
      <c r="S79" s="453"/>
    </row>
    <row r="80" spans="1:19">
      <c r="A80" s="452"/>
      <c r="B80" s="68" t="s">
        <v>71</v>
      </c>
      <c r="C80" s="17"/>
      <c r="D80" s="591">
        <v>1</v>
      </c>
      <c r="E80" s="17"/>
      <c r="F80" s="594" t="s">
        <v>64</v>
      </c>
      <c r="G80" s="455"/>
      <c r="H80" s="597"/>
      <c r="I80" s="3"/>
      <c r="J80" s="600"/>
      <c r="K80" s="3"/>
      <c r="L80" s="610">
        <f t="shared" si="5"/>
        <v>0</v>
      </c>
      <c r="M80" s="452"/>
      <c r="N80" s="612">
        <f>L80*J70</f>
        <v>0</v>
      </c>
      <c r="O80" s="452"/>
      <c r="P80" s="612" t="e">
        <f>IF(#REF!&gt;=7.6%,-(0.0165+0.076)*N80,0)</f>
        <v>#REF!</v>
      </c>
      <c r="Q80" s="452"/>
      <c r="R80" s="612" t="e">
        <f t="shared" si="4"/>
        <v>#REF!</v>
      </c>
      <c r="S80" s="453"/>
    </row>
    <row r="81" spans="1:19">
      <c r="A81" s="452"/>
      <c r="B81" s="68" t="s">
        <v>72</v>
      </c>
      <c r="C81" s="17"/>
      <c r="D81" s="591">
        <v>1</v>
      </c>
      <c r="E81" s="17"/>
      <c r="F81" s="594" t="s">
        <v>64</v>
      </c>
      <c r="G81" s="455"/>
      <c r="H81" s="597"/>
      <c r="I81" s="3"/>
      <c r="J81" s="600"/>
      <c r="K81" s="3"/>
      <c r="L81" s="610">
        <f t="shared" si="5"/>
        <v>0</v>
      </c>
      <c r="M81" s="452"/>
      <c r="N81" s="612">
        <f>L81*J70</f>
        <v>0</v>
      </c>
      <c r="O81" s="452"/>
      <c r="P81" s="612" t="e">
        <f>IF(#REF!&gt;=7.6%,-(0.0165+0.076)*N81,0)</f>
        <v>#REF!</v>
      </c>
      <c r="Q81" s="452"/>
      <c r="R81" s="612" t="e">
        <f t="shared" si="4"/>
        <v>#REF!</v>
      </c>
      <c r="S81" s="453"/>
    </row>
    <row r="82" spans="1:19">
      <c r="A82" s="452"/>
      <c r="B82" s="627" t="s">
        <v>73</v>
      </c>
      <c r="C82" s="456"/>
      <c r="D82" s="591">
        <v>1</v>
      </c>
      <c r="E82" s="456"/>
      <c r="F82" s="595" t="s">
        <v>64</v>
      </c>
      <c r="G82" s="457"/>
      <c r="H82" s="597"/>
      <c r="I82" s="3"/>
      <c r="J82" s="600"/>
      <c r="K82" s="3"/>
      <c r="L82" s="610">
        <f t="shared" si="5"/>
        <v>0</v>
      </c>
      <c r="M82" s="452"/>
      <c r="N82" s="612">
        <f>L82*J70</f>
        <v>0</v>
      </c>
      <c r="O82" s="452"/>
      <c r="P82" s="612" t="e">
        <f>IF(#REF!&gt;=7.6%,-(0.0165+0.076)*N82,0)</f>
        <v>#REF!</v>
      </c>
      <c r="Q82" s="452"/>
      <c r="R82" s="612" t="e">
        <f t="shared" si="4"/>
        <v>#REF!</v>
      </c>
      <c r="S82" s="453"/>
    </row>
    <row r="83" spans="1:19">
      <c r="A83" s="452"/>
      <c r="B83" s="68" t="s">
        <v>74</v>
      </c>
      <c r="C83" s="17"/>
      <c r="D83" s="591">
        <v>1</v>
      </c>
      <c r="E83" s="17"/>
      <c r="F83" s="595" t="s">
        <v>29</v>
      </c>
      <c r="G83" s="457"/>
      <c r="H83" s="597"/>
      <c r="I83" s="3"/>
      <c r="J83" s="600"/>
      <c r="K83" s="3"/>
      <c r="L83" s="610">
        <f t="shared" si="5"/>
        <v>0</v>
      </c>
      <c r="M83" s="452"/>
      <c r="N83" s="612">
        <f>L83*J70</f>
        <v>0</v>
      </c>
      <c r="O83" s="452"/>
      <c r="P83" s="612" t="e">
        <f>IF(#REF!&gt;=7.6%,-(0.0165+0.076)*N83,0)</f>
        <v>#REF!</v>
      </c>
      <c r="Q83" s="452"/>
      <c r="R83" s="612" t="e">
        <f t="shared" si="4"/>
        <v>#REF!</v>
      </c>
      <c r="S83" s="453"/>
    </row>
    <row r="84" spans="1:19" ht="13.5" thickBot="1">
      <c r="A84" s="452"/>
      <c r="B84" s="57" t="s">
        <v>77</v>
      </c>
      <c r="C84" s="3"/>
      <c r="D84" s="592"/>
      <c r="E84" s="3"/>
      <c r="F84" s="596" t="s">
        <v>29</v>
      </c>
      <c r="G84" s="3"/>
      <c r="H84" s="597"/>
      <c r="I84" s="3"/>
      <c r="J84" s="600"/>
      <c r="K84" s="3"/>
      <c r="L84" s="610">
        <f t="shared" si="5"/>
        <v>0</v>
      </c>
      <c r="M84" s="452"/>
      <c r="N84" s="612">
        <f>L84*J70</f>
        <v>0</v>
      </c>
      <c r="O84" s="452"/>
      <c r="P84" s="612" t="e">
        <f>IF(#REF!&gt;=7.6%,-(0.0165+0.076)*N84,0)</f>
        <v>#REF!</v>
      </c>
      <c r="Q84" s="452"/>
      <c r="R84" s="612" t="e">
        <f t="shared" si="4"/>
        <v>#REF!</v>
      </c>
      <c r="S84" s="453"/>
    </row>
    <row r="85" spans="1:19" ht="13.5" thickBot="1">
      <c r="A85" s="447"/>
      <c r="B85" s="628" t="s">
        <v>242</v>
      </c>
      <c r="C85" s="3"/>
      <c r="D85" s="454"/>
      <c r="E85" s="3"/>
      <c r="F85" s="457"/>
      <c r="G85" s="3"/>
      <c r="H85" s="599"/>
      <c r="I85" s="3"/>
      <c r="J85" s="510">
        <v>2.5000000000000001E-3</v>
      </c>
      <c r="K85" s="3"/>
      <c r="L85" s="611">
        <f>IF(H85&gt;0,J85*(R70-(D77*J77))/H85,0)</f>
        <v>0</v>
      </c>
      <c r="M85" s="447"/>
      <c r="N85" s="613">
        <f>L85*J70</f>
        <v>0</v>
      </c>
      <c r="O85" s="447"/>
      <c r="P85" s="613" t="e">
        <f>IF(#REF!&gt;=7.6%,-(0.0165+0.076)*N85,0)</f>
        <v>#REF!</v>
      </c>
      <c r="Q85" s="447"/>
      <c r="R85" s="613" t="e">
        <f t="shared" si="4"/>
        <v>#REF!</v>
      </c>
      <c r="S85" s="448"/>
    </row>
    <row r="86" spans="1:19">
      <c r="A86" s="447"/>
      <c r="B86" s="447"/>
      <c r="C86" s="447"/>
      <c r="D86" s="447"/>
      <c r="E86" s="3"/>
      <c r="F86" s="4"/>
      <c r="G86" s="4"/>
      <c r="H86" s="4"/>
      <c r="I86" s="4"/>
      <c r="J86" s="4"/>
      <c r="K86" s="3"/>
      <c r="L86" s="4"/>
      <c r="M86" s="447"/>
      <c r="N86" s="447"/>
      <c r="O86" s="447"/>
      <c r="P86" s="447"/>
      <c r="Q86" s="447"/>
      <c r="R86" s="447"/>
      <c r="S86" s="448"/>
    </row>
    <row r="87" spans="1:19" ht="13.5" thickBot="1">
      <c r="A87" s="452"/>
      <c r="B87" s="3"/>
      <c r="C87" s="3"/>
      <c r="D87" s="43"/>
      <c r="E87" s="3"/>
      <c r="F87" s="3"/>
      <c r="G87" s="3"/>
      <c r="H87" s="458"/>
      <c r="I87" s="35"/>
      <c r="J87" s="629" t="s">
        <v>113</v>
      </c>
      <c r="K87" s="459"/>
      <c r="L87" s="614">
        <f>SUM(L76:L84)</f>
        <v>0</v>
      </c>
      <c r="M87" s="452"/>
      <c r="N87" s="615">
        <f>SUM(N76:N84)</f>
        <v>0</v>
      </c>
      <c r="O87" s="452"/>
      <c r="P87" s="615" t="e">
        <f>SUM(P76:P84)</f>
        <v>#REF!</v>
      </c>
      <c r="Q87" s="452"/>
      <c r="R87" s="615" t="e">
        <f>SUM(R76:R85)</f>
        <v>#REF!</v>
      </c>
      <c r="S87" s="453"/>
    </row>
    <row r="88" spans="1:19">
      <c r="A88" s="447"/>
      <c r="B88" s="4"/>
      <c r="C88" s="4"/>
      <c r="D88" s="10"/>
      <c r="E88" s="3"/>
      <c r="F88" s="461"/>
      <c r="G88" s="4"/>
      <c r="H88" s="447"/>
      <c r="I88" s="447"/>
      <c r="J88" s="462"/>
      <c r="K88" s="3"/>
      <c r="L88" s="4"/>
      <c r="M88" s="447"/>
      <c r="N88" s="447"/>
      <c r="O88" s="447"/>
      <c r="P88" s="447"/>
      <c r="Q88" s="447"/>
      <c r="R88" s="447"/>
      <c r="S88" s="448"/>
    </row>
    <row r="89" spans="1:19" ht="13.5" thickBot="1">
      <c r="A89" s="449"/>
      <c r="B89" s="586"/>
      <c r="C89" s="587"/>
      <c r="D89" s="587"/>
      <c r="E89" s="587"/>
      <c r="F89" s="587"/>
      <c r="G89" s="588"/>
      <c r="H89" s="587"/>
      <c r="I89" s="587"/>
      <c r="J89" s="603" t="s">
        <v>44</v>
      </c>
      <c r="K89" s="587"/>
      <c r="L89" s="587"/>
      <c r="M89" s="588"/>
      <c r="N89" s="588"/>
      <c r="O89" s="588"/>
      <c r="P89" s="588"/>
      <c r="Q89" s="588"/>
      <c r="R89" s="589"/>
      <c r="S89" s="463"/>
    </row>
    <row r="90" spans="1:19">
      <c r="A90" s="447"/>
      <c r="B90" s="6"/>
      <c r="C90" s="6"/>
      <c r="D90" s="6"/>
      <c r="E90" s="6"/>
      <c r="F90" s="6"/>
      <c r="G90" s="6"/>
      <c r="H90" s="6"/>
      <c r="I90" s="6"/>
      <c r="J90" s="616" t="s">
        <v>82</v>
      </c>
      <c r="K90" s="465"/>
      <c r="L90" s="616" t="s">
        <v>83</v>
      </c>
      <c r="M90" s="447"/>
      <c r="N90" s="447"/>
      <c r="O90" s="447"/>
      <c r="P90" s="447"/>
      <c r="Q90" s="447"/>
      <c r="R90" s="447"/>
      <c r="S90" s="448"/>
    </row>
    <row r="91" spans="1:19" ht="13.5" thickBot="1">
      <c r="A91" s="447"/>
      <c r="B91" s="90" t="s">
        <v>243</v>
      </c>
      <c r="C91" s="619"/>
      <c r="D91" s="619"/>
      <c r="E91" s="619"/>
      <c r="F91" s="619"/>
      <c r="G91" s="619"/>
      <c r="H91" s="619"/>
      <c r="I91" s="6"/>
      <c r="J91" s="601"/>
      <c r="K91" s="6"/>
      <c r="L91" s="617">
        <f>J91/12</f>
        <v>0</v>
      </c>
      <c r="M91" s="447"/>
      <c r="N91" s="447"/>
      <c r="O91" s="447"/>
      <c r="P91" s="447"/>
      <c r="Q91" s="447"/>
      <c r="R91" s="447"/>
      <c r="S91" s="448"/>
    </row>
    <row r="92" spans="1:19">
      <c r="A92" s="447"/>
      <c r="B92" s="619"/>
      <c r="C92" s="619"/>
      <c r="D92" s="619"/>
      <c r="E92" s="619"/>
      <c r="F92" s="619"/>
      <c r="G92" s="619"/>
      <c r="H92" s="619"/>
      <c r="I92" s="6"/>
      <c r="J92" s="6"/>
      <c r="K92" s="6"/>
      <c r="L92" s="618"/>
      <c r="M92" s="447"/>
      <c r="N92" s="447"/>
      <c r="O92" s="447"/>
      <c r="P92" s="447"/>
      <c r="Q92" s="447"/>
      <c r="R92" s="447"/>
      <c r="S92" s="448"/>
    </row>
    <row r="93" spans="1:19" ht="13.5" thickBot="1">
      <c r="A93" s="447"/>
      <c r="B93" s="91" t="s">
        <v>78</v>
      </c>
      <c r="C93" s="619"/>
      <c r="D93" s="619"/>
      <c r="E93" s="619"/>
      <c r="F93" s="619"/>
      <c r="G93" s="619"/>
      <c r="H93" s="619"/>
      <c r="I93" s="6"/>
      <c r="J93" s="601"/>
      <c r="K93" s="6"/>
      <c r="L93" s="617">
        <f>J93/12</f>
        <v>0</v>
      </c>
      <c r="M93" s="447"/>
      <c r="N93" s="447"/>
      <c r="O93" s="447"/>
      <c r="P93" s="516" t="s">
        <v>183</v>
      </c>
      <c r="Q93" s="447"/>
      <c r="R93" s="622">
        <f>L91+L93</f>
        <v>0</v>
      </c>
      <c r="S93" s="448"/>
    </row>
    <row r="94" spans="1:19">
      <c r="A94" s="447"/>
      <c r="B94" s="4"/>
      <c r="C94" s="4"/>
      <c r="D94" s="10"/>
      <c r="E94" s="3"/>
      <c r="F94" s="4"/>
      <c r="G94" s="4"/>
      <c r="H94" s="449"/>
      <c r="I94" s="449"/>
      <c r="J94" s="462"/>
      <c r="K94" s="3"/>
      <c r="L94" s="4"/>
      <c r="M94" s="447"/>
      <c r="N94" s="447"/>
      <c r="O94" s="447"/>
      <c r="P94" s="447"/>
      <c r="Q94" s="447"/>
      <c r="R94" s="447"/>
      <c r="S94" s="448"/>
    </row>
    <row r="95" spans="1:19" ht="15.75" thickBot="1">
      <c r="A95" s="447"/>
      <c r="B95" s="447"/>
      <c r="C95" s="447"/>
      <c r="D95" s="447"/>
      <c r="E95" s="3"/>
      <c r="F95" s="4"/>
      <c r="G95" s="4"/>
      <c r="H95" s="449"/>
      <c r="I95" s="449"/>
      <c r="J95" s="447"/>
      <c r="K95" s="466"/>
      <c r="L95" s="447"/>
      <c r="M95" s="447"/>
      <c r="N95" s="447"/>
      <c r="O95" s="449"/>
      <c r="P95" s="620" t="s">
        <v>45</v>
      </c>
      <c r="Q95" s="590"/>
      <c r="R95" s="621">
        <f>IF(J70&gt;0,R87+R93,0)</f>
        <v>0</v>
      </c>
      <c r="S95" s="448"/>
    </row>
    <row r="96" spans="1:19" ht="15">
      <c r="A96" s="447"/>
      <c r="B96" s="447"/>
      <c r="C96" s="447"/>
      <c r="D96" s="447"/>
      <c r="E96" s="3"/>
      <c r="F96" s="4"/>
      <c r="G96" s="4"/>
      <c r="H96" s="449"/>
      <c r="I96" s="449"/>
      <c r="J96" s="447"/>
      <c r="K96" s="466"/>
      <c r="L96" s="447"/>
      <c r="M96" s="447"/>
      <c r="N96" s="447"/>
      <c r="O96" s="449"/>
      <c r="P96" s="630"/>
      <c r="Q96" s="466"/>
      <c r="R96" s="631"/>
      <c r="S96" s="448"/>
    </row>
    <row r="97" spans="1:19" ht="15">
      <c r="A97" s="447"/>
      <c r="B97" s="447"/>
      <c r="C97" s="447"/>
      <c r="D97" s="447"/>
      <c r="E97" s="3"/>
      <c r="F97" s="4"/>
      <c r="G97" s="4"/>
      <c r="H97" s="449"/>
      <c r="I97" s="449"/>
      <c r="J97" s="447"/>
      <c r="K97" s="466"/>
      <c r="L97" s="447"/>
      <c r="M97" s="447"/>
      <c r="N97" s="447"/>
      <c r="O97" s="449"/>
      <c r="P97" s="630"/>
      <c r="Q97" s="466"/>
      <c r="R97" s="631"/>
      <c r="S97" s="448"/>
    </row>
    <row r="98" spans="1:19" ht="15">
      <c r="A98" s="447"/>
      <c r="B98" s="447"/>
      <c r="C98" s="447"/>
      <c r="D98" s="447"/>
      <c r="E98" s="3"/>
      <c r="F98" s="4"/>
      <c r="G98" s="4"/>
      <c r="H98" s="449"/>
      <c r="I98" s="449"/>
      <c r="J98" s="447"/>
      <c r="K98" s="466"/>
      <c r="L98" s="447"/>
      <c r="M98" s="447"/>
      <c r="N98" s="447"/>
      <c r="O98" s="449"/>
      <c r="P98" s="630"/>
      <c r="Q98" s="466"/>
      <c r="R98" s="631"/>
      <c r="S98" s="448"/>
    </row>
    <row r="99" spans="1:19" ht="15">
      <c r="A99" s="447"/>
      <c r="B99" s="447"/>
      <c r="C99" s="447"/>
      <c r="D99" s="447"/>
      <c r="E99" s="3"/>
      <c r="F99" s="4"/>
      <c r="G99" s="4"/>
      <c r="H99" s="449"/>
      <c r="I99" s="449"/>
      <c r="J99" s="447"/>
      <c r="K99" s="466"/>
      <c r="L99" s="447"/>
      <c r="M99" s="447"/>
      <c r="N99" s="447"/>
      <c r="O99" s="449"/>
      <c r="P99" s="630"/>
      <c r="Q99" s="466"/>
      <c r="R99" s="631"/>
      <c r="S99" s="448"/>
    </row>
    <row r="100" spans="1:19"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</row>
    <row r="101" spans="1:19">
      <c r="A101" s="447"/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8"/>
    </row>
    <row r="102" spans="1:19" ht="13.5" thickBot="1">
      <c r="A102" s="447"/>
      <c r="B102" s="1078" t="s">
        <v>414</v>
      </c>
      <c r="C102" s="1079"/>
      <c r="D102" s="1079"/>
      <c r="E102" s="1079"/>
      <c r="F102" s="1079"/>
      <c r="G102" s="1079"/>
      <c r="H102" s="1079"/>
      <c r="I102" s="1079"/>
      <c r="J102" s="1079"/>
      <c r="K102" s="1079"/>
      <c r="L102" s="1079"/>
      <c r="M102" s="1079"/>
      <c r="N102" s="1079"/>
      <c r="O102" s="1079"/>
      <c r="P102" s="1079"/>
      <c r="Q102" s="1079"/>
      <c r="R102" s="1080"/>
      <c r="S102" s="448"/>
    </row>
    <row r="103" spans="1:19">
      <c r="A103" s="44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47"/>
      <c r="M103" s="447"/>
      <c r="N103" s="447"/>
      <c r="O103" s="447"/>
      <c r="P103" s="447"/>
      <c r="Q103" s="447"/>
      <c r="R103" s="447"/>
      <c r="S103" s="448"/>
    </row>
    <row r="104" spans="1:19" ht="13.5" thickBot="1">
      <c r="A104" s="447"/>
      <c r="B104" s="623"/>
      <c r="C104" s="57"/>
      <c r="D104" s="624"/>
      <c r="E104" s="68"/>
      <c r="F104" s="625"/>
      <c r="G104" s="626"/>
      <c r="H104" s="64" t="s">
        <v>415</v>
      </c>
      <c r="I104" s="447"/>
      <c r="J104" s="602"/>
      <c r="K104" s="645" t="s">
        <v>507</v>
      </c>
      <c r="L104" s="448"/>
      <c r="N104" s="447"/>
      <c r="O104" s="447"/>
      <c r="P104" s="646" t="s">
        <v>416</v>
      </c>
      <c r="Q104" s="447"/>
      <c r="R104" s="601"/>
      <c r="S104" s="448"/>
    </row>
    <row r="105" spans="1:19">
      <c r="A105" s="447"/>
      <c r="B105" s="3"/>
      <c r="C105" s="3"/>
      <c r="D105" s="8"/>
      <c r="E105" s="17"/>
      <c r="F105" s="449"/>
      <c r="G105" s="3"/>
      <c r="H105" s="449"/>
      <c r="I105" s="449"/>
      <c r="J105" s="450"/>
      <c r="K105" s="447"/>
      <c r="L105" s="451"/>
      <c r="M105" s="447"/>
      <c r="N105" s="447"/>
      <c r="O105" s="447"/>
      <c r="P105" s="447"/>
      <c r="Q105" s="447"/>
      <c r="R105" s="447"/>
      <c r="S105" s="448"/>
    </row>
    <row r="106" spans="1:19" ht="13.5" thickBot="1">
      <c r="A106" s="447"/>
      <c r="B106" s="604"/>
      <c r="C106" s="603"/>
      <c r="D106" s="603"/>
      <c r="E106" s="603"/>
      <c r="F106" s="603"/>
      <c r="G106" s="495"/>
      <c r="H106" s="603"/>
      <c r="I106" s="603"/>
      <c r="J106" s="603" t="s">
        <v>19</v>
      </c>
      <c r="K106" s="603"/>
      <c r="L106" s="603"/>
      <c r="M106" s="495"/>
      <c r="N106" s="495"/>
      <c r="O106" s="495"/>
      <c r="P106" s="495"/>
      <c r="Q106" s="495"/>
      <c r="R106" s="496"/>
      <c r="S106" s="448"/>
    </row>
    <row r="107" spans="1:19">
      <c r="A107" s="447"/>
      <c r="B107" s="3"/>
      <c r="C107" s="3"/>
      <c r="D107" s="3"/>
      <c r="E107" s="3"/>
      <c r="F107" s="4"/>
      <c r="G107" s="4"/>
      <c r="H107" s="4"/>
      <c r="I107" s="4"/>
      <c r="J107" s="4"/>
      <c r="K107" s="3"/>
      <c r="L107" s="447"/>
      <c r="M107" s="447"/>
      <c r="N107" s="447"/>
      <c r="O107" s="447"/>
      <c r="P107" s="447"/>
      <c r="Q107" s="447"/>
      <c r="R107" s="447"/>
      <c r="S107" s="448"/>
    </row>
    <row r="108" spans="1:19" ht="26.25" thickBot="1">
      <c r="A108" s="447"/>
      <c r="B108" s="605" t="s">
        <v>102</v>
      </c>
      <c r="C108" s="606"/>
      <c r="D108" s="603" t="s">
        <v>66</v>
      </c>
      <c r="E108" s="606"/>
      <c r="F108" s="607" t="s">
        <v>67</v>
      </c>
      <c r="G108" s="607"/>
      <c r="H108" s="606" t="s">
        <v>68</v>
      </c>
      <c r="I108" s="537"/>
      <c r="J108" s="603" t="s">
        <v>65</v>
      </c>
      <c r="K108" s="537"/>
      <c r="L108" s="603" t="s">
        <v>417</v>
      </c>
      <c r="M108" s="495"/>
      <c r="N108" s="603" t="s">
        <v>17</v>
      </c>
      <c r="O108" s="495"/>
      <c r="P108" s="608" t="s">
        <v>86</v>
      </c>
      <c r="Q108" s="495"/>
      <c r="R108" s="609" t="s">
        <v>113</v>
      </c>
      <c r="S108" s="448"/>
    </row>
    <row r="109" spans="1:19">
      <c r="A109" s="447"/>
      <c r="B109" s="42"/>
      <c r="C109" s="42"/>
      <c r="D109" s="6"/>
      <c r="E109" s="42"/>
      <c r="F109" s="6"/>
      <c r="G109" s="6"/>
      <c r="H109" s="42"/>
      <c r="I109" s="3"/>
      <c r="J109" s="6"/>
      <c r="K109" s="3"/>
      <c r="L109" s="4"/>
      <c r="M109" s="447"/>
      <c r="N109" s="447"/>
      <c r="O109" s="447"/>
      <c r="P109" s="447"/>
      <c r="Q109" s="447"/>
      <c r="R109" s="447"/>
      <c r="S109" s="448"/>
    </row>
    <row r="110" spans="1:19">
      <c r="A110" s="452"/>
      <c r="B110" s="68" t="s">
        <v>76</v>
      </c>
      <c r="C110" s="42"/>
      <c r="D110" s="591">
        <v>4</v>
      </c>
      <c r="E110" s="17"/>
      <c r="F110" s="593" t="s">
        <v>29</v>
      </c>
      <c r="G110" s="42"/>
      <c r="H110" s="597"/>
      <c r="I110" s="3"/>
      <c r="J110" s="600"/>
      <c r="K110" s="3"/>
      <c r="L110" s="610">
        <f>IF(H110&gt;0,(J110*D110)/H110,0)</f>
        <v>0</v>
      </c>
      <c r="M110" s="452"/>
      <c r="N110" s="612">
        <f>L110*J104</f>
        <v>0</v>
      </c>
      <c r="O110" s="452"/>
      <c r="P110" s="612" t="e">
        <f>IF(#REF!&gt;=7.6%,-(0.0165+0.076)*N110,0)</f>
        <v>#REF!</v>
      </c>
      <c r="Q110" s="452"/>
      <c r="R110" s="612" t="e">
        <f t="shared" ref="R110:R119" si="6">N110+P110</f>
        <v>#REF!</v>
      </c>
      <c r="S110" s="453"/>
    </row>
    <row r="111" spans="1:19">
      <c r="A111" s="452"/>
      <c r="B111" s="68" t="s">
        <v>75</v>
      </c>
      <c r="C111" s="17"/>
      <c r="D111" s="591">
        <v>1</v>
      </c>
      <c r="E111" s="17"/>
      <c r="F111" s="593" t="s">
        <v>64</v>
      </c>
      <c r="G111" s="42"/>
      <c r="H111" s="598"/>
      <c r="I111" s="3"/>
      <c r="J111" s="600"/>
      <c r="K111" s="3"/>
      <c r="L111" s="610">
        <f>IF(H111&gt;0,(J111*D111)/H111,0)</f>
        <v>0</v>
      </c>
      <c r="M111" s="452"/>
      <c r="N111" s="612">
        <f>L111*J104</f>
        <v>0</v>
      </c>
      <c r="O111" s="452"/>
      <c r="P111" s="612" t="e">
        <f>IF(#REF!&gt;=7.6%,-(0.0165+0.076)*N111,0)</f>
        <v>#REF!</v>
      </c>
      <c r="Q111" s="452"/>
      <c r="R111" s="612" t="e">
        <f t="shared" si="6"/>
        <v>#REF!</v>
      </c>
      <c r="S111" s="453"/>
    </row>
    <row r="112" spans="1:19">
      <c r="A112" s="452"/>
      <c r="B112" s="68" t="s">
        <v>69</v>
      </c>
      <c r="C112" s="17"/>
      <c r="D112" s="591"/>
      <c r="E112" s="17"/>
      <c r="F112" s="594" t="s">
        <v>64</v>
      </c>
      <c r="G112" s="455"/>
      <c r="H112" s="597"/>
      <c r="I112" s="3"/>
      <c r="J112" s="600"/>
      <c r="K112" s="3"/>
      <c r="L112" s="610">
        <f t="shared" ref="L112:L118" si="7">IF(H112&gt;0,(J112*D112)/H112,0)</f>
        <v>0</v>
      </c>
      <c r="M112" s="452"/>
      <c r="N112" s="612">
        <f>L112*J104</f>
        <v>0</v>
      </c>
      <c r="O112" s="452"/>
      <c r="P112" s="612" t="e">
        <f>IF(#REF!&gt;=7.6%,-(0.0165+0.076)*N112,0)</f>
        <v>#REF!</v>
      </c>
      <c r="Q112" s="452"/>
      <c r="R112" s="612" t="e">
        <f t="shared" si="6"/>
        <v>#REF!</v>
      </c>
      <c r="S112" s="453"/>
    </row>
    <row r="113" spans="1:19">
      <c r="A113" s="452"/>
      <c r="B113" s="68" t="s">
        <v>70</v>
      </c>
      <c r="C113" s="17"/>
      <c r="D113" s="591">
        <v>1</v>
      </c>
      <c r="E113" s="17"/>
      <c r="F113" s="594" t="s">
        <v>64</v>
      </c>
      <c r="G113" s="455"/>
      <c r="H113" s="597"/>
      <c r="I113" s="3"/>
      <c r="J113" s="600"/>
      <c r="K113" s="3"/>
      <c r="L113" s="610">
        <f t="shared" si="7"/>
        <v>0</v>
      </c>
      <c r="M113" s="452"/>
      <c r="N113" s="612">
        <f>L113*J104</f>
        <v>0</v>
      </c>
      <c r="O113" s="452"/>
      <c r="P113" s="612" t="e">
        <f>IF(#REF!&gt;=7.6%,-(0.0165+0.076)*N113,0)</f>
        <v>#REF!</v>
      </c>
      <c r="Q113" s="452"/>
      <c r="R113" s="612" t="e">
        <f t="shared" si="6"/>
        <v>#REF!</v>
      </c>
      <c r="S113" s="453"/>
    </row>
    <row r="114" spans="1:19">
      <c r="A114" s="452"/>
      <c r="B114" s="68" t="s">
        <v>71</v>
      </c>
      <c r="C114" s="17"/>
      <c r="D114" s="591">
        <v>1</v>
      </c>
      <c r="E114" s="17"/>
      <c r="F114" s="594" t="s">
        <v>64</v>
      </c>
      <c r="G114" s="455"/>
      <c r="H114" s="597"/>
      <c r="I114" s="3"/>
      <c r="J114" s="600"/>
      <c r="K114" s="3"/>
      <c r="L114" s="610">
        <f t="shared" si="7"/>
        <v>0</v>
      </c>
      <c r="M114" s="452"/>
      <c r="N114" s="612">
        <f>L114*J104</f>
        <v>0</v>
      </c>
      <c r="O114" s="452"/>
      <c r="P114" s="612" t="e">
        <f>IF(#REF!&gt;=7.6%,-(0.0165+0.076)*N114,0)</f>
        <v>#REF!</v>
      </c>
      <c r="Q114" s="452"/>
      <c r="R114" s="612" t="e">
        <f t="shared" si="6"/>
        <v>#REF!</v>
      </c>
      <c r="S114" s="453"/>
    </row>
    <row r="115" spans="1:19">
      <c r="A115" s="452"/>
      <c r="B115" s="68" t="s">
        <v>72</v>
      </c>
      <c r="C115" s="17"/>
      <c r="D115" s="591">
        <v>1</v>
      </c>
      <c r="E115" s="17"/>
      <c r="F115" s="594" t="s">
        <v>64</v>
      </c>
      <c r="G115" s="455"/>
      <c r="H115" s="597"/>
      <c r="I115" s="3"/>
      <c r="J115" s="600"/>
      <c r="K115" s="3"/>
      <c r="L115" s="610">
        <f t="shared" si="7"/>
        <v>0</v>
      </c>
      <c r="M115" s="452"/>
      <c r="N115" s="612">
        <f>L115*J104</f>
        <v>0</v>
      </c>
      <c r="O115" s="452"/>
      <c r="P115" s="612" t="e">
        <f>IF(#REF!&gt;=7.6%,-(0.0165+0.076)*N115,0)</f>
        <v>#REF!</v>
      </c>
      <c r="Q115" s="452"/>
      <c r="R115" s="612" t="e">
        <f t="shared" si="6"/>
        <v>#REF!</v>
      </c>
      <c r="S115" s="453"/>
    </row>
    <row r="116" spans="1:19">
      <c r="A116" s="452"/>
      <c r="B116" s="627" t="s">
        <v>73</v>
      </c>
      <c r="C116" s="456"/>
      <c r="D116" s="591">
        <v>1</v>
      </c>
      <c r="E116" s="456"/>
      <c r="F116" s="595" t="s">
        <v>64</v>
      </c>
      <c r="G116" s="457"/>
      <c r="H116" s="597"/>
      <c r="I116" s="3"/>
      <c r="J116" s="600"/>
      <c r="K116" s="3"/>
      <c r="L116" s="610">
        <f t="shared" si="7"/>
        <v>0</v>
      </c>
      <c r="M116" s="452"/>
      <c r="N116" s="612">
        <f>L116*J104</f>
        <v>0</v>
      </c>
      <c r="O116" s="452"/>
      <c r="P116" s="612" t="e">
        <f>IF(#REF!&gt;=7.6%,-(0.0165+0.076)*N116,0)</f>
        <v>#REF!</v>
      </c>
      <c r="Q116" s="452"/>
      <c r="R116" s="612" t="e">
        <f t="shared" si="6"/>
        <v>#REF!</v>
      </c>
      <c r="S116" s="453"/>
    </row>
    <row r="117" spans="1:19">
      <c r="A117" s="452"/>
      <c r="B117" s="68" t="s">
        <v>74</v>
      </c>
      <c r="C117" s="17"/>
      <c r="D117" s="591">
        <v>1</v>
      </c>
      <c r="E117" s="17"/>
      <c r="F117" s="595" t="s">
        <v>29</v>
      </c>
      <c r="G117" s="457"/>
      <c r="H117" s="597"/>
      <c r="I117" s="3"/>
      <c r="J117" s="600"/>
      <c r="K117" s="3"/>
      <c r="L117" s="610">
        <f t="shared" si="7"/>
        <v>0</v>
      </c>
      <c r="M117" s="452"/>
      <c r="N117" s="612">
        <f>L117*J104</f>
        <v>0</v>
      </c>
      <c r="O117" s="452"/>
      <c r="P117" s="612" t="e">
        <f>IF(#REF!&gt;=7.6%,-(0.0165+0.076)*N117,0)</f>
        <v>#REF!</v>
      </c>
      <c r="Q117" s="452"/>
      <c r="R117" s="612" t="e">
        <f t="shared" si="6"/>
        <v>#REF!</v>
      </c>
      <c r="S117" s="453"/>
    </row>
    <row r="118" spans="1:19" ht="13.5" thickBot="1">
      <c r="A118" s="452"/>
      <c r="B118" s="57" t="s">
        <v>77</v>
      </c>
      <c r="C118" s="3"/>
      <c r="D118" s="592"/>
      <c r="E118" s="3"/>
      <c r="F118" s="596" t="s">
        <v>29</v>
      </c>
      <c r="G118" s="3"/>
      <c r="H118" s="597"/>
      <c r="I118" s="3"/>
      <c r="J118" s="600"/>
      <c r="K118" s="3"/>
      <c r="L118" s="610">
        <f t="shared" si="7"/>
        <v>0</v>
      </c>
      <c r="M118" s="452"/>
      <c r="N118" s="612">
        <f>L118*J104</f>
        <v>0</v>
      </c>
      <c r="O118" s="452"/>
      <c r="P118" s="612" t="e">
        <f>IF(#REF!&gt;=7.6%,-(0.0165+0.076)*N118,0)</f>
        <v>#REF!</v>
      </c>
      <c r="Q118" s="452"/>
      <c r="R118" s="612" t="e">
        <f t="shared" si="6"/>
        <v>#REF!</v>
      </c>
      <c r="S118" s="453"/>
    </row>
    <row r="119" spans="1:19" ht="13.5" thickBot="1">
      <c r="A119" s="447"/>
      <c r="B119" s="628" t="s">
        <v>242</v>
      </c>
      <c r="C119" s="3"/>
      <c r="D119" s="454"/>
      <c r="E119" s="3"/>
      <c r="F119" s="457"/>
      <c r="G119" s="3"/>
      <c r="H119" s="599"/>
      <c r="I119" s="3"/>
      <c r="J119" s="510">
        <v>2.5000000000000001E-3</v>
      </c>
      <c r="K119" s="3"/>
      <c r="L119" s="611">
        <f>IF(H119&gt;0,J119*(R104-(D111*J111))/H119,0)</f>
        <v>0</v>
      </c>
      <c r="M119" s="447"/>
      <c r="N119" s="613">
        <f>L119*J104</f>
        <v>0</v>
      </c>
      <c r="O119" s="447"/>
      <c r="P119" s="613" t="e">
        <f>IF(#REF!&gt;=7.6%,-(0.0165+0.076)*N119,0)</f>
        <v>#REF!</v>
      </c>
      <c r="Q119" s="447"/>
      <c r="R119" s="613" t="e">
        <f t="shared" si="6"/>
        <v>#REF!</v>
      </c>
      <c r="S119" s="448"/>
    </row>
    <row r="120" spans="1:19">
      <c r="A120" s="447"/>
      <c r="B120" s="447"/>
      <c r="C120" s="447"/>
      <c r="D120" s="447"/>
      <c r="E120" s="3"/>
      <c r="F120" s="4"/>
      <c r="G120" s="4"/>
      <c r="H120" s="4"/>
      <c r="I120" s="4"/>
      <c r="J120" s="4"/>
      <c r="K120" s="3"/>
      <c r="L120" s="4"/>
      <c r="M120" s="447"/>
      <c r="N120" s="447"/>
      <c r="O120" s="447"/>
      <c r="P120" s="447"/>
      <c r="Q120" s="447"/>
      <c r="R120" s="447"/>
      <c r="S120" s="448"/>
    </row>
    <row r="121" spans="1:19" ht="13.5" thickBot="1">
      <c r="A121" s="452"/>
      <c r="B121" s="3"/>
      <c r="C121" s="3"/>
      <c r="D121" s="43"/>
      <c r="E121" s="3"/>
      <c r="F121" s="3"/>
      <c r="G121" s="3"/>
      <c r="H121" s="458"/>
      <c r="I121" s="35"/>
      <c r="J121" s="629" t="s">
        <v>113</v>
      </c>
      <c r="K121" s="459"/>
      <c r="L121" s="614">
        <f>SUM(L110:L118)</f>
        <v>0</v>
      </c>
      <c r="M121" s="452"/>
      <c r="N121" s="615">
        <f>SUM(N110:N118)</f>
        <v>0</v>
      </c>
      <c r="O121" s="452"/>
      <c r="P121" s="615" t="e">
        <f>SUM(P110:P118)</f>
        <v>#REF!</v>
      </c>
      <c r="Q121" s="452"/>
      <c r="R121" s="615" t="e">
        <f>SUM(R110:R119)</f>
        <v>#REF!</v>
      </c>
      <c r="S121" s="453"/>
    </row>
    <row r="122" spans="1:19">
      <c r="A122" s="447"/>
      <c r="B122" s="4"/>
      <c r="C122" s="4"/>
      <c r="D122" s="10"/>
      <c r="E122" s="3"/>
      <c r="F122" s="461"/>
      <c r="G122" s="4"/>
      <c r="H122" s="447"/>
      <c r="I122" s="447"/>
      <c r="J122" s="462"/>
      <c r="K122" s="3"/>
      <c r="L122" s="4"/>
      <c r="M122" s="447"/>
      <c r="N122" s="447"/>
      <c r="O122" s="447"/>
      <c r="P122" s="447"/>
      <c r="Q122" s="447"/>
      <c r="R122" s="447"/>
      <c r="S122" s="448"/>
    </row>
    <row r="123" spans="1:19" ht="13.5" thickBot="1">
      <c r="A123" s="449"/>
      <c r="B123" s="586"/>
      <c r="C123" s="587"/>
      <c r="D123" s="587"/>
      <c r="E123" s="587"/>
      <c r="F123" s="587"/>
      <c r="G123" s="588"/>
      <c r="H123" s="587"/>
      <c r="I123" s="587"/>
      <c r="J123" s="603" t="s">
        <v>44</v>
      </c>
      <c r="K123" s="587"/>
      <c r="L123" s="587"/>
      <c r="M123" s="588"/>
      <c r="N123" s="588"/>
      <c r="O123" s="588"/>
      <c r="P123" s="588"/>
      <c r="Q123" s="588"/>
      <c r="R123" s="589"/>
      <c r="S123" s="463"/>
    </row>
    <row r="124" spans="1:19">
      <c r="A124" s="447"/>
      <c r="B124" s="6"/>
      <c r="C124" s="6"/>
      <c r="D124" s="6"/>
      <c r="E124" s="6"/>
      <c r="F124" s="6"/>
      <c r="G124" s="6"/>
      <c r="H124" s="6"/>
      <c r="I124" s="6"/>
      <c r="J124" s="616" t="s">
        <v>82</v>
      </c>
      <c r="K124" s="465"/>
      <c r="L124" s="616" t="s">
        <v>83</v>
      </c>
      <c r="M124" s="447"/>
      <c r="N124" s="447"/>
      <c r="O124" s="447"/>
      <c r="P124" s="447"/>
      <c r="Q124" s="447"/>
      <c r="R124" s="447"/>
      <c r="S124" s="448"/>
    </row>
    <row r="125" spans="1:19" ht="13.5" thickBot="1">
      <c r="A125" s="447"/>
      <c r="B125" s="90" t="s">
        <v>243</v>
      </c>
      <c r="C125" s="619"/>
      <c r="D125" s="619"/>
      <c r="E125" s="619"/>
      <c r="F125" s="619"/>
      <c r="G125" s="619"/>
      <c r="H125" s="619"/>
      <c r="I125" s="6"/>
      <c r="J125" s="601"/>
      <c r="K125" s="6"/>
      <c r="L125" s="617">
        <f>J125/12</f>
        <v>0</v>
      </c>
      <c r="M125" s="447"/>
      <c r="N125" s="447"/>
      <c r="O125" s="447"/>
      <c r="P125" s="447"/>
      <c r="Q125" s="447"/>
      <c r="R125" s="447"/>
      <c r="S125" s="448"/>
    </row>
    <row r="126" spans="1:19">
      <c r="A126" s="447"/>
      <c r="B126" s="619"/>
      <c r="C126" s="619"/>
      <c r="D126" s="619"/>
      <c r="E126" s="619"/>
      <c r="F126" s="619"/>
      <c r="G126" s="619"/>
      <c r="H126" s="619"/>
      <c r="I126" s="6"/>
      <c r="J126" s="6"/>
      <c r="K126" s="6"/>
      <c r="L126" s="618"/>
      <c r="M126" s="447"/>
      <c r="N126" s="447"/>
      <c r="O126" s="447"/>
      <c r="P126" s="447"/>
      <c r="Q126" s="447"/>
      <c r="R126" s="447"/>
      <c r="S126" s="448"/>
    </row>
    <row r="127" spans="1:19" ht="13.5" thickBot="1">
      <c r="A127" s="447"/>
      <c r="B127" s="91" t="s">
        <v>78</v>
      </c>
      <c r="C127" s="619"/>
      <c r="D127" s="619"/>
      <c r="E127" s="619"/>
      <c r="F127" s="619"/>
      <c r="G127" s="619"/>
      <c r="H127" s="619"/>
      <c r="I127" s="6"/>
      <c r="J127" s="601"/>
      <c r="K127" s="6"/>
      <c r="L127" s="617">
        <f>J127/12</f>
        <v>0</v>
      </c>
      <c r="M127" s="447"/>
      <c r="N127" s="447"/>
      <c r="O127" s="447"/>
      <c r="P127" s="516" t="s">
        <v>183</v>
      </c>
      <c r="Q127" s="447"/>
      <c r="R127" s="622">
        <f>L125+L127</f>
        <v>0</v>
      </c>
      <c r="S127" s="448"/>
    </row>
    <row r="128" spans="1:19">
      <c r="A128" s="447"/>
      <c r="B128" s="4"/>
      <c r="C128" s="4"/>
      <c r="D128" s="10"/>
      <c r="E128" s="3"/>
      <c r="F128" s="4"/>
      <c r="G128" s="4"/>
      <c r="H128" s="449"/>
      <c r="I128" s="449"/>
      <c r="J128" s="462"/>
      <c r="K128" s="3"/>
      <c r="L128" s="4"/>
      <c r="M128" s="447"/>
      <c r="N128" s="447"/>
      <c r="O128" s="447"/>
      <c r="P128" s="447"/>
      <c r="Q128" s="447"/>
      <c r="R128" s="447"/>
      <c r="S128" s="448"/>
    </row>
    <row r="129" spans="1:19" ht="15.75" thickBot="1">
      <c r="A129" s="447"/>
      <c r="B129" s="447"/>
      <c r="C129" s="447"/>
      <c r="D129" s="447"/>
      <c r="E129" s="3"/>
      <c r="F129" s="4"/>
      <c r="G129" s="4"/>
      <c r="H129" s="449"/>
      <c r="I129" s="449"/>
      <c r="J129" s="447"/>
      <c r="K129" s="466"/>
      <c r="L129" s="447"/>
      <c r="M129" s="447"/>
      <c r="N129" s="447"/>
      <c r="O129" s="449"/>
      <c r="P129" s="620" t="s">
        <v>45</v>
      </c>
      <c r="Q129" s="590"/>
      <c r="R129" s="621">
        <f>IF(J104&gt;0,R121+R127,0)</f>
        <v>0</v>
      </c>
      <c r="S129" s="448"/>
    </row>
    <row r="130" spans="1:19">
      <c r="B130" s="467"/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</row>
    <row r="131" spans="1:19">
      <c r="A131" s="447"/>
      <c r="B131" s="447"/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8"/>
    </row>
    <row r="132" spans="1:19" ht="13.5" thickBot="1">
      <c r="A132" s="447"/>
      <c r="B132" s="1078" t="s">
        <v>414</v>
      </c>
      <c r="C132" s="1079"/>
      <c r="D132" s="1079"/>
      <c r="E132" s="1079"/>
      <c r="F132" s="1079"/>
      <c r="G132" s="1079"/>
      <c r="H132" s="1079"/>
      <c r="I132" s="1079"/>
      <c r="J132" s="1079"/>
      <c r="K132" s="1079"/>
      <c r="L132" s="1079"/>
      <c r="M132" s="1079"/>
      <c r="N132" s="1079"/>
      <c r="O132" s="1079"/>
      <c r="P132" s="1079"/>
      <c r="Q132" s="1079"/>
      <c r="R132" s="1080"/>
      <c r="S132" s="448"/>
    </row>
    <row r="133" spans="1:19">
      <c r="A133" s="44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447"/>
      <c r="M133" s="447"/>
      <c r="N133" s="447"/>
      <c r="O133" s="447"/>
      <c r="P133" s="447"/>
      <c r="Q133" s="447"/>
      <c r="R133" s="447"/>
      <c r="S133" s="448"/>
    </row>
    <row r="134" spans="1:19" ht="13.5" thickBot="1">
      <c r="A134" s="447"/>
      <c r="B134" s="623"/>
      <c r="C134" s="57"/>
      <c r="D134" s="624"/>
      <c r="E134" s="68"/>
      <c r="F134" s="625"/>
      <c r="G134" s="626"/>
      <c r="H134" s="64" t="s">
        <v>415</v>
      </c>
      <c r="I134" s="447"/>
      <c r="J134" s="602"/>
      <c r="K134" s="645" t="s">
        <v>507</v>
      </c>
      <c r="L134" s="448"/>
      <c r="N134" s="447"/>
      <c r="O134" s="447"/>
      <c r="P134" s="646" t="s">
        <v>416</v>
      </c>
      <c r="Q134" s="447"/>
      <c r="R134" s="601"/>
      <c r="S134" s="448"/>
    </row>
    <row r="135" spans="1:19">
      <c r="A135" s="447"/>
      <c r="B135" s="3"/>
      <c r="C135" s="3"/>
      <c r="D135" s="8"/>
      <c r="E135" s="17"/>
      <c r="F135" s="449"/>
      <c r="G135" s="3"/>
      <c r="H135" s="449"/>
      <c r="I135" s="449"/>
      <c r="J135" s="450"/>
      <c r="K135" s="447"/>
      <c r="L135" s="451"/>
      <c r="M135" s="447"/>
      <c r="N135" s="447"/>
      <c r="O135" s="447"/>
      <c r="P135" s="447"/>
      <c r="Q135" s="447"/>
      <c r="R135" s="447"/>
      <c r="S135" s="448"/>
    </row>
    <row r="136" spans="1:19" ht="13.5" thickBot="1">
      <c r="A136" s="447"/>
      <c r="B136" s="604"/>
      <c r="C136" s="603"/>
      <c r="D136" s="603"/>
      <c r="E136" s="603"/>
      <c r="F136" s="603"/>
      <c r="G136" s="495"/>
      <c r="H136" s="603"/>
      <c r="I136" s="603"/>
      <c r="J136" s="603" t="s">
        <v>19</v>
      </c>
      <c r="K136" s="603"/>
      <c r="L136" s="603"/>
      <c r="M136" s="495"/>
      <c r="N136" s="495"/>
      <c r="O136" s="495"/>
      <c r="P136" s="495"/>
      <c r="Q136" s="495"/>
      <c r="R136" s="496"/>
      <c r="S136" s="448"/>
    </row>
    <row r="137" spans="1:19">
      <c r="A137" s="447"/>
      <c r="B137" s="3"/>
      <c r="C137" s="3"/>
      <c r="D137" s="3"/>
      <c r="E137" s="3"/>
      <c r="F137" s="4"/>
      <c r="G137" s="4"/>
      <c r="H137" s="4"/>
      <c r="I137" s="4"/>
      <c r="J137" s="4"/>
      <c r="K137" s="3"/>
      <c r="L137" s="447"/>
      <c r="M137" s="447"/>
      <c r="N137" s="447"/>
      <c r="O137" s="447"/>
      <c r="P137" s="447"/>
      <c r="Q137" s="447"/>
      <c r="R137" s="447"/>
      <c r="S137" s="448"/>
    </row>
    <row r="138" spans="1:19" ht="26.25" thickBot="1">
      <c r="A138" s="447"/>
      <c r="B138" s="605" t="s">
        <v>102</v>
      </c>
      <c r="C138" s="606"/>
      <c r="D138" s="603" t="s">
        <v>66</v>
      </c>
      <c r="E138" s="606"/>
      <c r="F138" s="607" t="s">
        <v>67</v>
      </c>
      <c r="G138" s="607"/>
      <c r="H138" s="606" t="s">
        <v>68</v>
      </c>
      <c r="I138" s="537"/>
      <c r="J138" s="603" t="s">
        <v>65</v>
      </c>
      <c r="K138" s="537"/>
      <c r="L138" s="603" t="s">
        <v>417</v>
      </c>
      <c r="M138" s="495"/>
      <c r="N138" s="603" t="s">
        <v>17</v>
      </c>
      <c r="O138" s="495"/>
      <c r="P138" s="608" t="s">
        <v>86</v>
      </c>
      <c r="Q138" s="495"/>
      <c r="R138" s="609" t="s">
        <v>113</v>
      </c>
      <c r="S138" s="448"/>
    </row>
    <row r="139" spans="1:19">
      <c r="A139" s="447"/>
      <c r="B139" s="42"/>
      <c r="C139" s="42"/>
      <c r="D139" s="6"/>
      <c r="E139" s="42"/>
      <c r="F139" s="6"/>
      <c r="G139" s="6"/>
      <c r="H139" s="42"/>
      <c r="I139" s="3"/>
      <c r="J139" s="6"/>
      <c r="K139" s="3"/>
      <c r="L139" s="4"/>
      <c r="M139" s="447"/>
      <c r="N139" s="447"/>
      <c r="O139" s="447"/>
      <c r="P139" s="447"/>
      <c r="Q139" s="447"/>
      <c r="R139" s="447"/>
      <c r="S139" s="448"/>
    </row>
    <row r="140" spans="1:19">
      <c r="A140" s="452"/>
      <c r="B140" s="68" t="s">
        <v>76</v>
      </c>
      <c r="C140" s="42"/>
      <c r="D140" s="591">
        <v>4</v>
      </c>
      <c r="E140" s="17"/>
      <c r="F140" s="593" t="s">
        <v>29</v>
      </c>
      <c r="G140" s="42"/>
      <c r="H140" s="597"/>
      <c r="I140" s="3"/>
      <c r="J140" s="600"/>
      <c r="K140" s="3"/>
      <c r="L140" s="610">
        <f>IF(H140&gt;0,(J140*D140)/H140,0)</f>
        <v>0</v>
      </c>
      <c r="M140" s="452"/>
      <c r="N140" s="612">
        <f>L140*J134</f>
        <v>0</v>
      </c>
      <c r="O140" s="452"/>
      <c r="P140" s="612" t="e">
        <f>IF(#REF!&gt;=7.6%,-(0.0165+0.076)*N140,0)</f>
        <v>#REF!</v>
      </c>
      <c r="Q140" s="452"/>
      <c r="R140" s="612" t="e">
        <f t="shared" ref="R140:R149" si="8">N140+P140</f>
        <v>#REF!</v>
      </c>
      <c r="S140" s="453"/>
    </row>
    <row r="141" spans="1:19">
      <c r="A141" s="452"/>
      <c r="B141" s="68" t="s">
        <v>75</v>
      </c>
      <c r="C141" s="17"/>
      <c r="D141" s="591">
        <v>1</v>
      </c>
      <c r="E141" s="17"/>
      <c r="F141" s="593" t="s">
        <v>64</v>
      </c>
      <c r="G141" s="42"/>
      <c r="H141" s="598"/>
      <c r="I141" s="3"/>
      <c r="J141" s="600"/>
      <c r="K141" s="3"/>
      <c r="L141" s="610">
        <f>IF(H141&gt;0,(J141*D141)/H141,0)</f>
        <v>0</v>
      </c>
      <c r="M141" s="452"/>
      <c r="N141" s="612">
        <f>L141*J134</f>
        <v>0</v>
      </c>
      <c r="O141" s="452"/>
      <c r="P141" s="612" t="e">
        <f>IF(#REF!&gt;=7.6%,-(0.0165+0.076)*N141,0)</f>
        <v>#REF!</v>
      </c>
      <c r="Q141" s="452"/>
      <c r="R141" s="612" t="e">
        <f t="shared" si="8"/>
        <v>#REF!</v>
      </c>
      <c r="S141" s="453"/>
    </row>
    <row r="142" spans="1:19">
      <c r="A142" s="452"/>
      <c r="B142" s="68" t="s">
        <v>69</v>
      </c>
      <c r="C142" s="17"/>
      <c r="D142" s="591"/>
      <c r="E142" s="17"/>
      <c r="F142" s="594" t="s">
        <v>64</v>
      </c>
      <c r="G142" s="455"/>
      <c r="H142" s="597"/>
      <c r="I142" s="3"/>
      <c r="J142" s="600"/>
      <c r="K142" s="3"/>
      <c r="L142" s="610">
        <f t="shared" ref="L142:L148" si="9">IF(H142&gt;0,(J142*D142)/H142,0)</f>
        <v>0</v>
      </c>
      <c r="M142" s="452"/>
      <c r="N142" s="612">
        <f>L142*J134</f>
        <v>0</v>
      </c>
      <c r="O142" s="452"/>
      <c r="P142" s="612" t="e">
        <f>IF(#REF!&gt;=7.6%,-(0.0165+0.076)*N142,0)</f>
        <v>#REF!</v>
      </c>
      <c r="Q142" s="452"/>
      <c r="R142" s="612" t="e">
        <f t="shared" si="8"/>
        <v>#REF!</v>
      </c>
      <c r="S142" s="453"/>
    </row>
    <row r="143" spans="1:19">
      <c r="A143" s="452"/>
      <c r="B143" s="68" t="s">
        <v>70</v>
      </c>
      <c r="C143" s="17"/>
      <c r="D143" s="591">
        <v>1</v>
      </c>
      <c r="E143" s="17"/>
      <c r="F143" s="594" t="s">
        <v>64</v>
      </c>
      <c r="G143" s="455"/>
      <c r="H143" s="597"/>
      <c r="I143" s="3"/>
      <c r="J143" s="600"/>
      <c r="K143" s="3"/>
      <c r="L143" s="610">
        <f t="shared" si="9"/>
        <v>0</v>
      </c>
      <c r="M143" s="452"/>
      <c r="N143" s="612">
        <f>L143*J134</f>
        <v>0</v>
      </c>
      <c r="O143" s="452"/>
      <c r="P143" s="612" t="e">
        <f>IF(#REF!&gt;=7.6%,-(0.0165+0.076)*N143,0)</f>
        <v>#REF!</v>
      </c>
      <c r="Q143" s="452"/>
      <c r="R143" s="612" t="e">
        <f t="shared" si="8"/>
        <v>#REF!</v>
      </c>
      <c r="S143" s="453"/>
    </row>
    <row r="144" spans="1:19">
      <c r="A144" s="452"/>
      <c r="B144" s="68" t="s">
        <v>71</v>
      </c>
      <c r="C144" s="17"/>
      <c r="D144" s="591">
        <v>1</v>
      </c>
      <c r="E144" s="17"/>
      <c r="F144" s="594" t="s">
        <v>64</v>
      </c>
      <c r="G144" s="455"/>
      <c r="H144" s="597"/>
      <c r="I144" s="3"/>
      <c r="J144" s="600"/>
      <c r="K144" s="3"/>
      <c r="L144" s="610">
        <f t="shared" si="9"/>
        <v>0</v>
      </c>
      <c r="M144" s="452"/>
      <c r="N144" s="612">
        <f>L144*J134</f>
        <v>0</v>
      </c>
      <c r="O144" s="452"/>
      <c r="P144" s="612" t="e">
        <f>IF(#REF!&gt;=7.6%,-(0.0165+0.076)*N144,0)</f>
        <v>#REF!</v>
      </c>
      <c r="Q144" s="452"/>
      <c r="R144" s="612" t="e">
        <f t="shared" si="8"/>
        <v>#REF!</v>
      </c>
      <c r="S144" s="453"/>
    </row>
    <row r="145" spans="1:19">
      <c r="A145" s="452"/>
      <c r="B145" s="68" t="s">
        <v>72</v>
      </c>
      <c r="C145" s="17"/>
      <c r="D145" s="591">
        <v>1</v>
      </c>
      <c r="E145" s="17"/>
      <c r="F145" s="594" t="s">
        <v>64</v>
      </c>
      <c r="G145" s="455"/>
      <c r="H145" s="597"/>
      <c r="I145" s="3"/>
      <c r="J145" s="600"/>
      <c r="K145" s="3"/>
      <c r="L145" s="610">
        <f t="shared" si="9"/>
        <v>0</v>
      </c>
      <c r="M145" s="452"/>
      <c r="N145" s="612">
        <f>L145*J134</f>
        <v>0</v>
      </c>
      <c r="O145" s="452"/>
      <c r="P145" s="612" t="e">
        <f>IF(#REF!&gt;=7.6%,-(0.0165+0.076)*N145,0)</f>
        <v>#REF!</v>
      </c>
      <c r="Q145" s="452"/>
      <c r="R145" s="612" t="e">
        <f t="shared" si="8"/>
        <v>#REF!</v>
      </c>
      <c r="S145" s="453"/>
    </row>
    <row r="146" spans="1:19">
      <c r="A146" s="452"/>
      <c r="B146" s="627" t="s">
        <v>73</v>
      </c>
      <c r="C146" s="456"/>
      <c r="D146" s="591">
        <v>1</v>
      </c>
      <c r="E146" s="456"/>
      <c r="F146" s="595" t="s">
        <v>64</v>
      </c>
      <c r="G146" s="457"/>
      <c r="H146" s="597"/>
      <c r="I146" s="3"/>
      <c r="J146" s="600"/>
      <c r="K146" s="3"/>
      <c r="L146" s="610">
        <f t="shared" si="9"/>
        <v>0</v>
      </c>
      <c r="M146" s="452"/>
      <c r="N146" s="612">
        <f>L146*J134</f>
        <v>0</v>
      </c>
      <c r="O146" s="452"/>
      <c r="P146" s="612" t="e">
        <f>IF(#REF!&gt;=7.6%,-(0.0165+0.076)*N146,0)</f>
        <v>#REF!</v>
      </c>
      <c r="Q146" s="452"/>
      <c r="R146" s="612" t="e">
        <f t="shared" si="8"/>
        <v>#REF!</v>
      </c>
      <c r="S146" s="453"/>
    </row>
    <row r="147" spans="1:19">
      <c r="A147" s="452"/>
      <c r="B147" s="68" t="s">
        <v>74</v>
      </c>
      <c r="C147" s="17"/>
      <c r="D147" s="591">
        <v>1</v>
      </c>
      <c r="E147" s="17"/>
      <c r="F147" s="595" t="s">
        <v>29</v>
      </c>
      <c r="G147" s="457"/>
      <c r="H147" s="597"/>
      <c r="I147" s="3"/>
      <c r="J147" s="600"/>
      <c r="K147" s="3"/>
      <c r="L147" s="610">
        <f t="shared" si="9"/>
        <v>0</v>
      </c>
      <c r="M147" s="452"/>
      <c r="N147" s="612">
        <f>L147*J134</f>
        <v>0</v>
      </c>
      <c r="O147" s="452"/>
      <c r="P147" s="612" t="e">
        <f>IF(#REF!&gt;=7.6%,-(0.0165+0.076)*N147,0)</f>
        <v>#REF!</v>
      </c>
      <c r="Q147" s="452"/>
      <c r="R147" s="612" t="e">
        <f t="shared" si="8"/>
        <v>#REF!</v>
      </c>
      <c r="S147" s="453"/>
    </row>
    <row r="148" spans="1:19" ht="13.5" thickBot="1">
      <c r="A148" s="452"/>
      <c r="B148" s="57" t="s">
        <v>77</v>
      </c>
      <c r="C148" s="3"/>
      <c r="D148" s="592"/>
      <c r="E148" s="3"/>
      <c r="F148" s="596" t="s">
        <v>29</v>
      </c>
      <c r="G148" s="3"/>
      <c r="H148" s="597"/>
      <c r="I148" s="3"/>
      <c r="J148" s="600"/>
      <c r="K148" s="3"/>
      <c r="L148" s="610">
        <f t="shared" si="9"/>
        <v>0</v>
      </c>
      <c r="M148" s="452"/>
      <c r="N148" s="612">
        <f>L148*J134</f>
        <v>0</v>
      </c>
      <c r="O148" s="452"/>
      <c r="P148" s="612" t="e">
        <f>IF(#REF!&gt;=7.6%,-(0.0165+0.076)*N148,0)</f>
        <v>#REF!</v>
      </c>
      <c r="Q148" s="452"/>
      <c r="R148" s="612" t="e">
        <f t="shared" si="8"/>
        <v>#REF!</v>
      </c>
      <c r="S148" s="453"/>
    </row>
    <row r="149" spans="1:19" ht="13.5" thickBot="1">
      <c r="A149" s="447"/>
      <c r="B149" s="628" t="s">
        <v>242</v>
      </c>
      <c r="C149" s="3"/>
      <c r="D149" s="454"/>
      <c r="E149" s="3"/>
      <c r="F149" s="457"/>
      <c r="G149" s="3"/>
      <c r="H149" s="599"/>
      <c r="I149" s="3"/>
      <c r="J149" s="510">
        <v>2.5000000000000001E-3</v>
      </c>
      <c r="K149" s="3"/>
      <c r="L149" s="611">
        <f>IF(H149&gt;0,J149*(R134-(D141*J141))/H149,0)</f>
        <v>0</v>
      </c>
      <c r="M149" s="447"/>
      <c r="N149" s="613">
        <f>L149*J134</f>
        <v>0</v>
      </c>
      <c r="O149" s="447"/>
      <c r="P149" s="613" t="e">
        <f>IF(#REF!&gt;=7.6%,-(0.0165+0.076)*N149,0)</f>
        <v>#REF!</v>
      </c>
      <c r="Q149" s="447"/>
      <c r="R149" s="613" t="e">
        <f t="shared" si="8"/>
        <v>#REF!</v>
      </c>
      <c r="S149" s="448"/>
    </row>
    <row r="150" spans="1:19">
      <c r="A150" s="447"/>
      <c r="B150" s="447"/>
      <c r="C150" s="447"/>
      <c r="D150" s="447"/>
      <c r="E150" s="3"/>
      <c r="F150" s="4"/>
      <c r="G150" s="4"/>
      <c r="H150" s="4"/>
      <c r="I150" s="4"/>
      <c r="J150" s="4"/>
      <c r="K150" s="3"/>
      <c r="L150" s="4"/>
      <c r="M150" s="447"/>
      <c r="N150" s="447"/>
      <c r="O150" s="447"/>
      <c r="P150" s="447"/>
      <c r="Q150" s="447"/>
      <c r="R150" s="447"/>
      <c r="S150" s="448"/>
    </row>
    <row r="151" spans="1:19" ht="13.5" thickBot="1">
      <c r="A151" s="452"/>
      <c r="B151" s="3"/>
      <c r="C151" s="3"/>
      <c r="D151" s="43"/>
      <c r="E151" s="3"/>
      <c r="F151" s="3"/>
      <c r="G151" s="3"/>
      <c r="H151" s="458"/>
      <c r="I151" s="35"/>
      <c r="J151" s="629" t="s">
        <v>113</v>
      </c>
      <c r="K151" s="459"/>
      <c r="L151" s="614">
        <f>SUM(L140:L148)</f>
        <v>0</v>
      </c>
      <c r="M151" s="452"/>
      <c r="N151" s="615">
        <f>SUM(N140:N148)</f>
        <v>0</v>
      </c>
      <c r="O151" s="452"/>
      <c r="P151" s="615" t="e">
        <f>SUM(P140:P148)</f>
        <v>#REF!</v>
      </c>
      <c r="Q151" s="452"/>
      <c r="R151" s="615" t="e">
        <f>SUM(R140:R149)</f>
        <v>#REF!</v>
      </c>
      <c r="S151" s="453"/>
    </row>
    <row r="152" spans="1:19">
      <c r="A152" s="447"/>
      <c r="B152" s="4"/>
      <c r="C152" s="4"/>
      <c r="D152" s="10"/>
      <c r="E152" s="3"/>
      <c r="F152" s="461"/>
      <c r="G152" s="4"/>
      <c r="H152" s="447"/>
      <c r="I152" s="447"/>
      <c r="J152" s="462"/>
      <c r="K152" s="3"/>
      <c r="L152" s="4"/>
      <c r="M152" s="447"/>
      <c r="N152" s="447"/>
      <c r="O152" s="447"/>
      <c r="P152" s="447"/>
      <c r="Q152" s="447"/>
      <c r="R152" s="447"/>
      <c r="S152" s="448"/>
    </row>
    <row r="153" spans="1:19" ht="13.5" thickBot="1">
      <c r="A153" s="449"/>
      <c r="B153" s="586"/>
      <c r="C153" s="587"/>
      <c r="D153" s="587"/>
      <c r="E153" s="587"/>
      <c r="F153" s="587"/>
      <c r="G153" s="588"/>
      <c r="H153" s="587"/>
      <c r="I153" s="587"/>
      <c r="J153" s="603" t="s">
        <v>44</v>
      </c>
      <c r="K153" s="587"/>
      <c r="L153" s="587"/>
      <c r="M153" s="588"/>
      <c r="N153" s="588"/>
      <c r="O153" s="588"/>
      <c r="P153" s="588"/>
      <c r="Q153" s="588"/>
      <c r="R153" s="589"/>
      <c r="S153" s="463"/>
    </row>
    <row r="154" spans="1:19">
      <c r="A154" s="447"/>
      <c r="B154" s="6"/>
      <c r="C154" s="6"/>
      <c r="D154" s="6"/>
      <c r="E154" s="6"/>
      <c r="F154" s="6"/>
      <c r="G154" s="6"/>
      <c r="H154" s="6"/>
      <c r="I154" s="6"/>
      <c r="J154" s="616" t="s">
        <v>82</v>
      </c>
      <c r="K154" s="465"/>
      <c r="L154" s="616" t="s">
        <v>83</v>
      </c>
      <c r="M154" s="447"/>
      <c r="N154" s="447"/>
      <c r="O154" s="447"/>
      <c r="P154" s="447"/>
      <c r="Q154" s="447"/>
      <c r="R154" s="447"/>
      <c r="S154" s="448"/>
    </row>
    <row r="155" spans="1:19" ht="13.5" thickBot="1">
      <c r="A155" s="447"/>
      <c r="B155" s="90" t="s">
        <v>243</v>
      </c>
      <c r="C155" s="619"/>
      <c r="D155" s="619"/>
      <c r="E155" s="619"/>
      <c r="F155" s="619"/>
      <c r="G155" s="619"/>
      <c r="H155" s="619"/>
      <c r="I155" s="6"/>
      <c r="J155" s="601"/>
      <c r="K155" s="6"/>
      <c r="L155" s="617">
        <f>J155/12</f>
        <v>0</v>
      </c>
      <c r="M155" s="447"/>
      <c r="N155" s="447"/>
      <c r="O155" s="447"/>
      <c r="P155" s="447"/>
      <c r="Q155" s="447"/>
      <c r="R155" s="447"/>
      <c r="S155" s="448"/>
    </row>
    <row r="156" spans="1:19">
      <c r="A156" s="447"/>
      <c r="B156" s="619"/>
      <c r="C156" s="619"/>
      <c r="D156" s="619"/>
      <c r="E156" s="619"/>
      <c r="F156" s="619"/>
      <c r="G156" s="619"/>
      <c r="H156" s="619"/>
      <c r="I156" s="6"/>
      <c r="J156" s="6"/>
      <c r="K156" s="6"/>
      <c r="L156" s="618"/>
      <c r="M156" s="447"/>
      <c r="N156" s="447"/>
      <c r="O156" s="447"/>
      <c r="P156" s="447"/>
      <c r="Q156" s="447"/>
      <c r="R156" s="447"/>
      <c r="S156" s="448"/>
    </row>
    <row r="157" spans="1:19" ht="13.5" thickBot="1">
      <c r="A157" s="447"/>
      <c r="B157" s="91" t="s">
        <v>78</v>
      </c>
      <c r="C157" s="619"/>
      <c r="D157" s="619"/>
      <c r="E157" s="619"/>
      <c r="F157" s="619"/>
      <c r="G157" s="619"/>
      <c r="H157" s="619"/>
      <c r="I157" s="6"/>
      <c r="J157" s="601"/>
      <c r="K157" s="6"/>
      <c r="L157" s="617">
        <f>J157/12</f>
        <v>0</v>
      </c>
      <c r="M157" s="447"/>
      <c r="N157" s="447"/>
      <c r="O157" s="447"/>
      <c r="P157" s="516" t="s">
        <v>183</v>
      </c>
      <c r="Q157" s="447"/>
      <c r="R157" s="622">
        <f>L155+L157</f>
        <v>0</v>
      </c>
      <c r="S157" s="448"/>
    </row>
    <row r="158" spans="1:19">
      <c r="A158" s="447"/>
      <c r="B158" s="4"/>
      <c r="C158" s="4"/>
      <c r="D158" s="10"/>
      <c r="E158" s="3"/>
      <c r="F158" s="4"/>
      <c r="G158" s="4"/>
      <c r="H158" s="449"/>
      <c r="I158" s="449"/>
      <c r="J158" s="462"/>
      <c r="K158" s="3"/>
      <c r="L158" s="4"/>
      <c r="M158" s="447"/>
      <c r="N158" s="447"/>
      <c r="O158" s="447"/>
      <c r="P158" s="447"/>
      <c r="Q158" s="447"/>
      <c r="R158" s="447"/>
      <c r="S158" s="448"/>
    </row>
    <row r="159" spans="1:19" ht="15.75" thickBot="1">
      <c r="A159" s="447"/>
      <c r="B159" s="447"/>
      <c r="C159" s="447"/>
      <c r="D159" s="447"/>
      <c r="E159" s="3"/>
      <c r="F159" s="4"/>
      <c r="G159" s="4"/>
      <c r="H159" s="449"/>
      <c r="I159" s="449"/>
      <c r="J159" s="447"/>
      <c r="K159" s="466"/>
      <c r="L159" s="447"/>
      <c r="M159" s="447"/>
      <c r="N159" s="447"/>
      <c r="O159" s="449"/>
      <c r="P159" s="620" t="s">
        <v>45</v>
      </c>
      <c r="Q159" s="590"/>
      <c r="R159" s="621">
        <f>IF(J134&gt;0,R151+R157,0)</f>
        <v>0</v>
      </c>
      <c r="S159" s="448"/>
    </row>
    <row r="160" spans="1:19" ht="15">
      <c r="A160" s="447"/>
      <c r="B160" s="447"/>
      <c r="C160" s="447"/>
      <c r="D160" s="447"/>
      <c r="E160" s="3"/>
      <c r="F160" s="4"/>
      <c r="G160" s="4"/>
      <c r="H160" s="449"/>
      <c r="I160" s="449"/>
      <c r="J160" s="447"/>
      <c r="K160" s="466"/>
      <c r="L160" s="447"/>
      <c r="M160" s="447"/>
      <c r="N160" s="447"/>
      <c r="O160" s="449"/>
      <c r="P160" s="630"/>
      <c r="Q160" s="466"/>
      <c r="R160" s="631"/>
      <c r="S160" s="448"/>
    </row>
    <row r="161" spans="1:19" ht="15">
      <c r="A161" s="447"/>
      <c r="B161" s="447"/>
      <c r="C161" s="447"/>
      <c r="D161" s="447"/>
      <c r="E161" s="3"/>
      <c r="F161" s="4"/>
      <c r="G161" s="4"/>
      <c r="H161" s="449"/>
      <c r="I161" s="449"/>
      <c r="J161" s="447"/>
      <c r="K161" s="466"/>
      <c r="L161" s="447"/>
      <c r="M161" s="447"/>
      <c r="N161" s="447"/>
      <c r="O161" s="449"/>
      <c r="P161" s="630"/>
      <c r="Q161" s="466"/>
      <c r="R161" s="631"/>
      <c r="S161" s="448"/>
    </row>
    <row r="162" spans="1:19" ht="15">
      <c r="A162" s="447"/>
      <c r="B162" s="447"/>
      <c r="C162" s="447"/>
      <c r="D162" s="447"/>
      <c r="E162" s="3"/>
      <c r="F162" s="4"/>
      <c r="G162" s="4"/>
      <c r="H162" s="449"/>
      <c r="I162" s="449"/>
      <c r="J162" s="447"/>
      <c r="K162" s="466"/>
      <c r="L162" s="447"/>
      <c r="M162" s="447"/>
      <c r="N162" s="447"/>
      <c r="O162" s="449"/>
      <c r="P162" s="630"/>
      <c r="Q162" s="466"/>
      <c r="R162" s="631"/>
      <c r="S162" s="448"/>
    </row>
    <row r="163" spans="1:19" ht="15">
      <c r="A163" s="447"/>
      <c r="B163" s="447"/>
      <c r="C163" s="447"/>
      <c r="D163" s="447"/>
      <c r="E163" s="3"/>
      <c r="F163" s="4"/>
      <c r="G163" s="4"/>
      <c r="H163" s="449"/>
      <c r="I163" s="449"/>
      <c r="J163" s="447"/>
      <c r="K163" s="466"/>
      <c r="L163" s="447"/>
      <c r="M163" s="447"/>
      <c r="N163" s="447"/>
      <c r="O163" s="449"/>
      <c r="P163" s="630"/>
      <c r="Q163" s="466"/>
      <c r="R163" s="631"/>
      <c r="S163" s="448"/>
    </row>
    <row r="164" spans="1:19">
      <c r="B164" s="467"/>
      <c r="C164" s="467"/>
      <c r="D164" s="467"/>
      <c r="E164" s="467"/>
      <c r="F164" s="467"/>
      <c r="G164" s="467"/>
      <c r="H164" s="467"/>
      <c r="I164" s="467"/>
      <c r="J164" s="467"/>
      <c r="K164" s="467"/>
      <c r="L164" s="467"/>
    </row>
    <row r="165" spans="1:19">
      <c r="A165" s="447"/>
      <c r="B165" s="447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47"/>
      <c r="Q165" s="447"/>
      <c r="R165" s="447"/>
      <c r="S165" s="448"/>
    </row>
    <row r="166" spans="1:19" ht="13.5" thickBot="1">
      <c r="A166" s="447"/>
      <c r="B166" s="1078" t="s">
        <v>414</v>
      </c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79"/>
      <c r="M166" s="1079"/>
      <c r="N166" s="1079"/>
      <c r="O166" s="1079"/>
      <c r="P166" s="1079"/>
      <c r="Q166" s="1079"/>
      <c r="R166" s="1080"/>
      <c r="S166" s="448"/>
    </row>
    <row r="167" spans="1:19">
      <c r="A167" s="44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447"/>
      <c r="M167" s="447"/>
      <c r="N167" s="447"/>
      <c r="O167" s="447"/>
      <c r="P167" s="447"/>
      <c r="Q167" s="447"/>
      <c r="R167" s="447"/>
      <c r="S167" s="448"/>
    </row>
    <row r="168" spans="1:19" ht="13.5" thickBot="1">
      <c r="A168" s="447"/>
      <c r="B168" s="623"/>
      <c r="C168" s="57"/>
      <c r="D168" s="624"/>
      <c r="E168" s="68"/>
      <c r="F168" s="625"/>
      <c r="G168" s="626"/>
      <c r="H168" s="64" t="s">
        <v>415</v>
      </c>
      <c r="I168" s="447"/>
      <c r="J168" s="602"/>
      <c r="K168" s="645" t="s">
        <v>507</v>
      </c>
      <c r="L168" s="448"/>
      <c r="N168" s="626"/>
      <c r="O168" s="447"/>
      <c r="P168" s="646" t="s">
        <v>416</v>
      </c>
      <c r="Q168" s="447"/>
      <c r="R168" s="601"/>
      <c r="S168" s="448"/>
    </row>
    <row r="169" spans="1:19">
      <c r="A169" s="447"/>
      <c r="B169" s="3"/>
      <c r="C169" s="3"/>
      <c r="D169" s="8"/>
      <c r="E169" s="17"/>
      <c r="F169" s="449"/>
      <c r="G169" s="3"/>
      <c r="H169" s="449"/>
      <c r="I169" s="449"/>
      <c r="J169" s="450"/>
      <c r="K169" s="447"/>
      <c r="L169" s="451"/>
      <c r="M169" s="447"/>
      <c r="N169" s="447"/>
      <c r="O169" s="447"/>
      <c r="P169" s="447"/>
      <c r="Q169" s="447"/>
      <c r="R169" s="447"/>
      <c r="S169" s="448"/>
    </row>
    <row r="170" spans="1:19" ht="13.5" thickBot="1">
      <c r="A170" s="447"/>
      <c r="B170" s="604"/>
      <c r="C170" s="603"/>
      <c r="D170" s="603"/>
      <c r="E170" s="603"/>
      <c r="F170" s="603"/>
      <c r="G170" s="495"/>
      <c r="H170" s="603"/>
      <c r="I170" s="603"/>
      <c r="J170" s="603" t="s">
        <v>19</v>
      </c>
      <c r="K170" s="603"/>
      <c r="L170" s="603"/>
      <c r="M170" s="495"/>
      <c r="N170" s="495"/>
      <c r="O170" s="495"/>
      <c r="P170" s="495"/>
      <c r="Q170" s="495"/>
      <c r="R170" s="496"/>
      <c r="S170" s="448"/>
    </row>
    <row r="171" spans="1:19">
      <c r="A171" s="447"/>
      <c r="B171" s="3"/>
      <c r="C171" s="3"/>
      <c r="D171" s="3"/>
      <c r="E171" s="3"/>
      <c r="F171" s="4"/>
      <c r="G171" s="4"/>
      <c r="H171" s="4"/>
      <c r="I171" s="4"/>
      <c r="J171" s="4"/>
      <c r="K171" s="3"/>
      <c r="L171" s="447"/>
      <c r="M171" s="447"/>
      <c r="N171" s="447"/>
      <c r="O171" s="447"/>
      <c r="P171" s="447"/>
      <c r="Q171" s="447"/>
      <c r="R171" s="447"/>
      <c r="S171" s="448"/>
    </row>
    <row r="172" spans="1:19" ht="26.25" thickBot="1">
      <c r="A172" s="447"/>
      <c r="B172" s="605" t="s">
        <v>102</v>
      </c>
      <c r="C172" s="606"/>
      <c r="D172" s="603" t="s">
        <v>66</v>
      </c>
      <c r="E172" s="606"/>
      <c r="F172" s="607" t="s">
        <v>67</v>
      </c>
      <c r="G172" s="607"/>
      <c r="H172" s="606" t="s">
        <v>68</v>
      </c>
      <c r="I172" s="537"/>
      <c r="J172" s="603" t="s">
        <v>65</v>
      </c>
      <c r="K172" s="537"/>
      <c r="L172" s="603" t="s">
        <v>417</v>
      </c>
      <c r="M172" s="495"/>
      <c r="N172" s="603" t="s">
        <v>17</v>
      </c>
      <c r="O172" s="495"/>
      <c r="P172" s="608" t="s">
        <v>86</v>
      </c>
      <c r="Q172" s="495"/>
      <c r="R172" s="609" t="s">
        <v>113</v>
      </c>
      <c r="S172" s="448"/>
    </row>
    <row r="173" spans="1:19">
      <c r="A173" s="447"/>
      <c r="B173" s="42"/>
      <c r="C173" s="42"/>
      <c r="D173" s="6"/>
      <c r="E173" s="42"/>
      <c r="F173" s="6"/>
      <c r="G173" s="6"/>
      <c r="H173" s="42"/>
      <c r="I173" s="3"/>
      <c r="J173" s="6"/>
      <c r="K173" s="3"/>
      <c r="L173" s="4"/>
      <c r="M173" s="447"/>
      <c r="N173" s="447"/>
      <c r="O173" s="447"/>
      <c r="P173" s="447"/>
      <c r="Q173" s="447"/>
      <c r="R173" s="447"/>
      <c r="S173" s="448"/>
    </row>
    <row r="174" spans="1:19">
      <c r="A174" s="452"/>
      <c r="B174" s="68" t="s">
        <v>76</v>
      </c>
      <c r="C174" s="42"/>
      <c r="D174" s="591">
        <v>4</v>
      </c>
      <c r="E174" s="17"/>
      <c r="F174" s="593" t="s">
        <v>29</v>
      </c>
      <c r="G174" s="42"/>
      <c r="H174" s="597"/>
      <c r="I174" s="3"/>
      <c r="J174" s="600"/>
      <c r="K174" s="3"/>
      <c r="L174" s="610">
        <f>IF(H174&gt;0,(J174*D174)/H174,0)</f>
        <v>0</v>
      </c>
      <c r="M174" s="452"/>
      <c r="N174" s="612">
        <f>L174*J168</f>
        <v>0</v>
      </c>
      <c r="O174" s="452"/>
      <c r="P174" s="612" t="e">
        <f>IF(#REF!&gt;=7.6%,-(0.0165+0.076)*N174,0)</f>
        <v>#REF!</v>
      </c>
      <c r="Q174" s="452"/>
      <c r="R174" s="612" t="e">
        <f t="shared" ref="R174:R183" si="10">N174+P174</f>
        <v>#REF!</v>
      </c>
      <c r="S174" s="453"/>
    </row>
    <row r="175" spans="1:19">
      <c r="A175" s="452"/>
      <c r="B175" s="68" t="s">
        <v>75</v>
      </c>
      <c r="C175" s="17"/>
      <c r="D175" s="591">
        <v>1</v>
      </c>
      <c r="E175" s="17"/>
      <c r="F175" s="593" t="s">
        <v>64</v>
      </c>
      <c r="G175" s="42"/>
      <c r="H175" s="598"/>
      <c r="I175" s="3"/>
      <c r="J175" s="600"/>
      <c r="K175" s="3"/>
      <c r="L175" s="610">
        <f>IF(H175&gt;0,(J175*D175)/H175,0)</f>
        <v>0</v>
      </c>
      <c r="M175" s="452"/>
      <c r="N175" s="612">
        <f>L175*J168</f>
        <v>0</v>
      </c>
      <c r="O175" s="452"/>
      <c r="P175" s="612" t="e">
        <f>IF(#REF!&gt;=7.6%,-(0.0165+0.076)*N175,0)</f>
        <v>#REF!</v>
      </c>
      <c r="Q175" s="452"/>
      <c r="R175" s="612" t="e">
        <f t="shared" si="10"/>
        <v>#REF!</v>
      </c>
      <c r="S175" s="453"/>
    </row>
    <row r="176" spans="1:19">
      <c r="A176" s="452"/>
      <c r="B176" s="68" t="s">
        <v>69</v>
      </c>
      <c r="C176" s="17"/>
      <c r="D176" s="591"/>
      <c r="E176" s="17"/>
      <c r="F176" s="594" t="s">
        <v>64</v>
      </c>
      <c r="G176" s="455"/>
      <c r="H176" s="597"/>
      <c r="I176" s="3"/>
      <c r="J176" s="600"/>
      <c r="K176" s="3"/>
      <c r="L176" s="610">
        <f t="shared" ref="L176:L182" si="11">IF(H176&gt;0,(J176*D176)/H176,0)</f>
        <v>0</v>
      </c>
      <c r="M176" s="452"/>
      <c r="N176" s="612">
        <f>L176*J168</f>
        <v>0</v>
      </c>
      <c r="O176" s="452"/>
      <c r="P176" s="612" t="e">
        <f>IF(#REF!&gt;=7.6%,-(0.0165+0.076)*N176,0)</f>
        <v>#REF!</v>
      </c>
      <c r="Q176" s="452"/>
      <c r="R176" s="612" t="e">
        <f t="shared" si="10"/>
        <v>#REF!</v>
      </c>
      <c r="S176" s="453"/>
    </row>
    <row r="177" spans="1:19">
      <c r="A177" s="452"/>
      <c r="B177" s="68" t="s">
        <v>70</v>
      </c>
      <c r="C177" s="17"/>
      <c r="D177" s="591">
        <v>1</v>
      </c>
      <c r="E177" s="17"/>
      <c r="F177" s="594" t="s">
        <v>64</v>
      </c>
      <c r="G177" s="455"/>
      <c r="H177" s="597"/>
      <c r="I177" s="3"/>
      <c r="J177" s="600"/>
      <c r="K177" s="3"/>
      <c r="L177" s="610">
        <f t="shared" si="11"/>
        <v>0</v>
      </c>
      <c r="M177" s="452"/>
      <c r="N177" s="612">
        <f>L177*J168</f>
        <v>0</v>
      </c>
      <c r="O177" s="452"/>
      <c r="P177" s="612" t="e">
        <f>IF(#REF!&gt;=7.6%,-(0.0165+0.076)*N177,0)</f>
        <v>#REF!</v>
      </c>
      <c r="Q177" s="452"/>
      <c r="R177" s="612" t="e">
        <f t="shared" si="10"/>
        <v>#REF!</v>
      </c>
      <c r="S177" s="453"/>
    </row>
    <row r="178" spans="1:19">
      <c r="A178" s="452"/>
      <c r="B178" s="68" t="s">
        <v>71</v>
      </c>
      <c r="C178" s="17"/>
      <c r="D178" s="591">
        <v>1</v>
      </c>
      <c r="E178" s="17"/>
      <c r="F178" s="594" t="s">
        <v>64</v>
      </c>
      <c r="G178" s="455"/>
      <c r="H178" s="597"/>
      <c r="I178" s="3"/>
      <c r="J178" s="600"/>
      <c r="K178" s="3"/>
      <c r="L178" s="610">
        <f t="shared" si="11"/>
        <v>0</v>
      </c>
      <c r="M178" s="452"/>
      <c r="N178" s="612">
        <f>L178*J168</f>
        <v>0</v>
      </c>
      <c r="O178" s="452"/>
      <c r="P178" s="612" t="e">
        <f>IF(#REF!&gt;=7.6%,-(0.0165+0.076)*N178,0)</f>
        <v>#REF!</v>
      </c>
      <c r="Q178" s="452"/>
      <c r="R178" s="612" t="e">
        <f t="shared" si="10"/>
        <v>#REF!</v>
      </c>
      <c r="S178" s="453"/>
    </row>
    <row r="179" spans="1:19">
      <c r="A179" s="452"/>
      <c r="B179" s="68" t="s">
        <v>72</v>
      </c>
      <c r="C179" s="17"/>
      <c r="D179" s="591">
        <v>1</v>
      </c>
      <c r="E179" s="17"/>
      <c r="F179" s="594" t="s">
        <v>64</v>
      </c>
      <c r="G179" s="455"/>
      <c r="H179" s="597"/>
      <c r="I179" s="3"/>
      <c r="J179" s="600"/>
      <c r="K179" s="3"/>
      <c r="L179" s="610">
        <f t="shared" si="11"/>
        <v>0</v>
      </c>
      <c r="M179" s="452"/>
      <c r="N179" s="612">
        <f>L179*J168</f>
        <v>0</v>
      </c>
      <c r="O179" s="452"/>
      <c r="P179" s="612" t="e">
        <f>IF(#REF!&gt;=7.6%,-(0.0165+0.076)*N179,0)</f>
        <v>#REF!</v>
      </c>
      <c r="Q179" s="452"/>
      <c r="R179" s="612" t="e">
        <f t="shared" si="10"/>
        <v>#REF!</v>
      </c>
      <c r="S179" s="453"/>
    </row>
    <row r="180" spans="1:19">
      <c r="A180" s="452"/>
      <c r="B180" s="627" t="s">
        <v>73</v>
      </c>
      <c r="C180" s="456"/>
      <c r="D180" s="591">
        <v>1</v>
      </c>
      <c r="E180" s="456"/>
      <c r="F180" s="595" t="s">
        <v>64</v>
      </c>
      <c r="G180" s="457"/>
      <c r="H180" s="597"/>
      <c r="I180" s="3"/>
      <c r="J180" s="600"/>
      <c r="K180" s="3"/>
      <c r="L180" s="610">
        <f t="shared" si="11"/>
        <v>0</v>
      </c>
      <c r="M180" s="452"/>
      <c r="N180" s="612">
        <f>L180*J168</f>
        <v>0</v>
      </c>
      <c r="O180" s="452"/>
      <c r="P180" s="612" t="e">
        <f>IF(#REF!&gt;=7.6%,-(0.0165+0.076)*N180,0)</f>
        <v>#REF!</v>
      </c>
      <c r="Q180" s="452"/>
      <c r="R180" s="612" t="e">
        <f t="shared" si="10"/>
        <v>#REF!</v>
      </c>
      <c r="S180" s="453"/>
    </row>
    <row r="181" spans="1:19">
      <c r="A181" s="452"/>
      <c r="B181" s="68" t="s">
        <v>74</v>
      </c>
      <c r="C181" s="17"/>
      <c r="D181" s="591">
        <v>1</v>
      </c>
      <c r="E181" s="17"/>
      <c r="F181" s="595" t="s">
        <v>29</v>
      </c>
      <c r="G181" s="457"/>
      <c r="H181" s="597"/>
      <c r="I181" s="3"/>
      <c r="J181" s="600"/>
      <c r="K181" s="3"/>
      <c r="L181" s="610">
        <f t="shared" si="11"/>
        <v>0</v>
      </c>
      <c r="M181" s="452"/>
      <c r="N181" s="612">
        <f>L181*J168</f>
        <v>0</v>
      </c>
      <c r="O181" s="452"/>
      <c r="P181" s="612" t="e">
        <f>IF(#REF!&gt;=7.6%,-(0.0165+0.076)*N181,0)</f>
        <v>#REF!</v>
      </c>
      <c r="Q181" s="452"/>
      <c r="R181" s="612" t="e">
        <f t="shared" si="10"/>
        <v>#REF!</v>
      </c>
      <c r="S181" s="453"/>
    </row>
    <row r="182" spans="1:19" ht="13.5" thickBot="1">
      <c r="A182" s="452"/>
      <c r="B182" s="57" t="s">
        <v>77</v>
      </c>
      <c r="C182" s="3"/>
      <c r="D182" s="592"/>
      <c r="E182" s="3"/>
      <c r="F182" s="596" t="s">
        <v>29</v>
      </c>
      <c r="G182" s="3"/>
      <c r="H182" s="597"/>
      <c r="I182" s="3"/>
      <c r="J182" s="600"/>
      <c r="K182" s="3"/>
      <c r="L182" s="610">
        <f t="shared" si="11"/>
        <v>0</v>
      </c>
      <c r="M182" s="452"/>
      <c r="N182" s="612">
        <f>L182*J168</f>
        <v>0</v>
      </c>
      <c r="O182" s="452"/>
      <c r="P182" s="612" t="e">
        <f>IF(#REF!&gt;=7.6%,-(0.0165+0.076)*N182,0)</f>
        <v>#REF!</v>
      </c>
      <c r="Q182" s="452"/>
      <c r="R182" s="612" t="e">
        <f t="shared" si="10"/>
        <v>#REF!</v>
      </c>
      <c r="S182" s="453"/>
    </row>
    <row r="183" spans="1:19" ht="13.5" thickBot="1">
      <c r="A183" s="447"/>
      <c r="B183" s="628" t="s">
        <v>242</v>
      </c>
      <c r="C183" s="3"/>
      <c r="D183" s="454"/>
      <c r="E183" s="3"/>
      <c r="F183" s="457"/>
      <c r="G183" s="3"/>
      <c r="H183" s="599"/>
      <c r="I183" s="3"/>
      <c r="J183" s="510">
        <v>2.5000000000000001E-3</v>
      </c>
      <c r="K183" s="3"/>
      <c r="L183" s="611">
        <f>IF(H183&gt;0,J183*(R168-(D175*J175))/H183,0)</f>
        <v>0</v>
      </c>
      <c r="M183" s="447"/>
      <c r="N183" s="613">
        <f>L183*J168</f>
        <v>0</v>
      </c>
      <c r="O183" s="447"/>
      <c r="P183" s="613" t="e">
        <f>IF(#REF!&gt;=7.6%,-(0.0165+0.076)*N183,0)</f>
        <v>#REF!</v>
      </c>
      <c r="Q183" s="447"/>
      <c r="R183" s="613" t="e">
        <f t="shared" si="10"/>
        <v>#REF!</v>
      </c>
      <c r="S183" s="448"/>
    </row>
    <row r="184" spans="1:19">
      <c r="A184" s="447"/>
      <c r="B184" s="447"/>
      <c r="C184" s="447"/>
      <c r="D184" s="447"/>
      <c r="E184" s="3"/>
      <c r="F184" s="4"/>
      <c r="G184" s="4"/>
      <c r="H184" s="4"/>
      <c r="I184" s="4"/>
      <c r="J184" s="4"/>
      <c r="K184" s="3"/>
      <c r="L184" s="4"/>
      <c r="M184" s="447"/>
      <c r="N184" s="447"/>
      <c r="O184" s="447"/>
      <c r="P184" s="447"/>
      <c r="Q184" s="447"/>
      <c r="R184" s="447"/>
      <c r="S184" s="448"/>
    </row>
    <row r="185" spans="1:19" ht="13.5" thickBot="1">
      <c r="A185" s="452"/>
      <c r="B185" s="3"/>
      <c r="C185" s="3"/>
      <c r="D185" s="43"/>
      <c r="E185" s="3"/>
      <c r="F185" s="3"/>
      <c r="G185" s="3"/>
      <c r="H185" s="458"/>
      <c r="I185" s="35"/>
      <c r="J185" s="629" t="s">
        <v>113</v>
      </c>
      <c r="K185" s="459"/>
      <c r="L185" s="614">
        <f>SUM(L174:L182)</f>
        <v>0</v>
      </c>
      <c r="M185" s="452"/>
      <c r="N185" s="615">
        <f>SUM(N174:N182)</f>
        <v>0</v>
      </c>
      <c r="O185" s="452"/>
      <c r="P185" s="615" t="e">
        <f>SUM(P174:P182)</f>
        <v>#REF!</v>
      </c>
      <c r="Q185" s="452"/>
      <c r="R185" s="615" t="e">
        <f>SUM(R174:R183)</f>
        <v>#REF!</v>
      </c>
      <c r="S185" s="453"/>
    </row>
    <row r="186" spans="1:19">
      <c r="A186" s="447"/>
      <c r="B186" s="4"/>
      <c r="C186" s="4"/>
      <c r="D186" s="10"/>
      <c r="E186" s="3"/>
      <c r="F186" s="461"/>
      <c r="G186" s="4"/>
      <c r="H186" s="447"/>
      <c r="I186" s="447"/>
      <c r="J186" s="462"/>
      <c r="K186" s="3"/>
      <c r="L186" s="4"/>
      <c r="M186" s="447"/>
      <c r="N186" s="447"/>
      <c r="O186" s="447"/>
      <c r="P186" s="447"/>
      <c r="Q186" s="447"/>
      <c r="R186" s="447"/>
      <c r="S186" s="448"/>
    </row>
    <row r="187" spans="1:19" ht="13.5" thickBot="1">
      <c r="A187" s="449"/>
      <c r="B187" s="586"/>
      <c r="C187" s="587"/>
      <c r="D187" s="587"/>
      <c r="E187" s="587"/>
      <c r="F187" s="587"/>
      <c r="G187" s="588"/>
      <c r="H187" s="587"/>
      <c r="I187" s="587"/>
      <c r="J187" s="603" t="s">
        <v>44</v>
      </c>
      <c r="K187" s="587"/>
      <c r="L187" s="587"/>
      <c r="M187" s="588"/>
      <c r="N187" s="588"/>
      <c r="O187" s="588"/>
      <c r="P187" s="588"/>
      <c r="Q187" s="588"/>
      <c r="R187" s="589"/>
      <c r="S187" s="463"/>
    </row>
    <row r="188" spans="1:19">
      <c r="A188" s="447"/>
      <c r="B188" s="6"/>
      <c r="C188" s="6"/>
      <c r="D188" s="6"/>
      <c r="E188" s="6"/>
      <c r="F188" s="6"/>
      <c r="G188" s="6"/>
      <c r="H188" s="6"/>
      <c r="I188" s="6"/>
      <c r="J188" s="616" t="s">
        <v>82</v>
      </c>
      <c r="K188" s="465"/>
      <c r="L188" s="616" t="s">
        <v>83</v>
      </c>
      <c r="M188" s="447"/>
      <c r="N188" s="447"/>
      <c r="O188" s="447"/>
      <c r="P188" s="447"/>
      <c r="Q188" s="447"/>
      <c r="R188" s="447"/>
      <c r="S188" s="448"/>
    </row>
    <row r="189" spans="1:19" ht="13.5" thickBot="1">
      <c r="A189" s="447"/>
      <c r="B189" s="90" t="s">
        <v>243</v>
      </c>
      <c r="C189" s="619"/>
      <c r="D189" s="619"/>
      <c r="E189" s="619"/>
      <c r="F189" s="619"/>
      <c r="G189" s="619"/>
      <c r="H189" s="619"/>
      <c r="I189" s="6"/>
      <c r="J189" s="601"/>
      <c r="K189" s="6"/>
      <c r="L189" s="617">
        <f>J189/12</f>
        <v>0</v>
      </c>
      <c r="M189" s="447"/>
      <c r="N189" s="447"/>
      <c r="O189" s="447"/>
      <c r="P189" s="447"/>
      <c r="Q189" s="447"/>
      <c r="R189" s="447"/>
      <c r="S189" s="448"/>
    </row>
    <row r="190" spans="1:19">
      <c r="A190" s="447"/>
      <c r="B190" s="619"/>
      <c r="C190" s="619"/>
      <c r="D190" s="619"/>
      <c r="E190" s="619"/>
      <c r="F190" s="619"/>
      <c r="G190" s="619"/>
      <c r="H190" s="619"/>
      <c r="I190" s="6"/>
      <c r="J190" s="6"/>
      <c r="K190" s="6"/>
      <c r="L190" s="618"/>
      <c r="M190" s="447"/>
      <c r="N190" s="447"/>
      <c r="O190" s="447"/>
      <c r="P190" s="447"/>
      <c r="Q190" s="447"/>
      <c r="R190" s="447"/>
      <c r="S190" s="448"/>
    </row>
    <row r="191" spans="1:19" ht="13.5" thickBot="1">
      <c r="A191" s="447"/>
      <c r="B191" s="91" t="s">
        <v>78</v>
      </c>
      <c r="C191" s="619"/>
      <c r="D191" s="619"/>
      <c r="E191" s="619"/>
      <c r="F191" s="619"/>
      <c r="G191" s="619"/>
      <c r="H191" s="619"/>
      <c r="I191" s="6"/>
      <c r="J191" s="601"/>
      <c r="K191" s="6"/>
      <c r="L191" s="617">
        <f>J191/12</f>
        <v>0</v>
      </c>
      <c r="M191" s="447"/>
      <c r="N191" s="447"/>
      <c r="O191" s="447"/>
      <c r="P191" s="516" t="s">
        <v>183</v>
      </c>
      <c r="Q191" s="447"/>
      <c r="R191" s="622">
        <f>L189+L191</f>
        <v>0</v>
      </c>
      <c r="S191" s="448"/>
    </row>
    <row r="192" spans="1:19">
      <c r="A192" s="447"/>
      <c r="B192" s="4"/>
      <c r="C192" s="4"/>
      <c r="D192" s="10"/>
      <c r="E192" s="3"/>
      <c r="F192" s="4"/>
      <c r="G192" s="4"/>
      <c r="H192" s="449"/>
      <c r="I192" s="449"/>
      <c r="J192" s="462"/>
      <c r="K192" s="3"/>
      <c r="L192" s="4"/>
      <c r="M192" s="447"/>
      <c r="N192" s="447"/>
      <c r="O192" s="447"/>
      <c r="P192" s="447"/>
      <c r="Q192" s="447"/>
      <c r="R192" s="447"/>
      <c r="S192" s="448"/>
    </row>
    <row r="193" spans="1:19" ht="15.75" thickBot="1">
      <c r="A193" s="447"/>
      <c r="B193" s="447"/>
      <c r="C193" s="447"/>
      <c r="D193" s="447"/>
      <c r="E193" s="3"/>
      <c r="F193" s="4"/>
      <c r="G193" s="4"/>
      <c r="H193" s="449"/>
      <c r="I193" s="449"/>
      <c r="J193" s="447"/>
      <c r="K193" s="466"/>
      <c r="L193" s="447"/>
      <c r="M193" s="447"/>
      <c r="N193" s="447"/>
      <c r="O193" s="449"/>
      <c r="P193" s="620" t="s">
        <v>45</v>
      </c>
      <c r="Q193" s="590"/>
      <c r="R193" s="621">
        <f>IF(J168&gt;0,R185+R191,0)</f>
        <v>0</v>
      </c>
      <c r="S193" s="448"/>
    </row>
    <row r="194" spans="1:19">
      <c r="B194" s="467"/>
      <c r="C194" s="467"/>
      <c r="D194" s="467"/>
      <c r="E194" s="467"/>
      <c r="F194" s="467"/>
      <c r="G194" s="467"/>
      <c r="H194" s="467"/>
      <c r="I194" s="467"/>
      <c r="J194" s="467"/>
      <c r="K194" s="467"/>
      <c r="L194" s="467"/>
    </row>
    <row r="195" spans="1:19">
      <c r="B195" s="467"/>
      <c r="C195" s="467"/>
      <c r="D195" s="467"/>
      <c r="E195" s="467"/>
      <c r="F195" s="467"/>
      <c r="G195" s="467"/>
      <c r="H195" s="467"/>
      <c r="I195" s="467"/>
      <c r="J195" s="467"/>
      <c r="K195" s="467"/>
      <c r="L195" s="467"/>
    </row>
    <row r="196" spans="1:19">
      <c r="B196" s="467"/>
      <c r="C196" s="467"/>
      <c r="D196" s="467"/>
      <c r="E196" s="467"/>
      <c r="F196" s="467"/>
      <c r="G196" s="467"/>
      <c r="H196" s="467"/>
      <c r="I196" s="467"/>
      <c r="J196" s="467"/>
      <c r="K196" s="467"/>
      <c r="L196" s="467"/>
    </row>
    <row r="197" spans="1:19">
      <c r="B197" s="467"/>
      <c r="C197" s="467"/>
      <c r="D197" s="467"/>
      <c r="E197" s="467"/>
      <c r="F197" s="467"/>
      <c r="G197" s="467"/>
      <c r="H197" s="467"/>
      <c r="I197" s="467"/>
      <c r="J197" s="467"/>
      <c r="K197" s="467"/>
      <c r="L197" s="467"/>
    </row>
    <row r="198" spans="1:19">
      <c r="B198" s="467"/>
      <c r="C198" s="467"/>
      <c r="D198" s="467"/>
      <c r="E198" s="467"/>
      <c r="F198" s="467"/>
      <c r="G198" s="467"/>
      <c r="H198" s="467"/>
      <c r="I198" s="467"/>
      <c r="J198" s="467"/>
      <c r="K198" s="467"/>
      <c r="L198" s="467"/>
    </row>
    <row r="199" spans="1:19">
      <c r="B199" s="467"/>
      <c r="C199" s="467"/>
      <c r="D199" s="467"/>
      <c r="E199" s="467"/>
      <c r="F199" s="467"/>
      <c r="G199" s="467"/>
      <c r="H199" s="467"/>
      <c r="I199" s="467"/>
      <c r="J199" s="467"/>
      <c r="K199" s="467"/>
      <c r="L199" s="467"/>
    </row>
    <row r="200" spans="1:19">
      <c r="B200" s="467"/>
      <c r="C200" s="467"/>
      <c r="D200" s="467"/>
      <c r="E200" s="467"/>
      <c r="F200" s="467"/>
      <c r="G200" s="467"/>
      <c r="H200" s="467"/>
      <c r="I200" s="467"/>
      <c r="J200" s="467"/>
      <c r="K200" s="467"/>
      <c r="L200" s="467"/>
    </row>
    <row r="201" spans="1:19">
      <c r="B201" s="467"/>
      <c r="C201" s="467"/>
      <c r="D201" s="467"/>
      <c r="E201" s="467"/>
      <c r="F201" s="467"/>
      <c r="G201" s="467"/>
      <c r="H201" s="467"/>
      <c r="I201" s="467"/>
      <c r="J201" s="467"/>
      <c r="K201" s="467"/>
      <c r="L201" s="467"/>
    </row>
    <row r="202" spans="1:19">
      <c r="B202" s="467"/>
      <c r="C202" s="467"/>
      <c r="D202" s="467"/>
      <c r="E202" s="467"/>
      <c r="F202" s="467"/>
      <c r="G202" s="467"/>
      <c r="H202" s="467"/>
      <c r="I202" s="467"/>
      <c r="J202" s="467"/>
      <c r="K202" s="467"/>
      <c r="L202" s="467"/>
    </row>
    <row r="203" spans="1:19">
      <c r="B203" s="467"/>
      <c r="C203" s="467"/>
      <c r="D203" s="467"/>
      <c r="E203" s="467"/>
      <c r="F203" s="467"/>
      <c r="G203" s="467"/>
      <c r="H203" s="467"/>
      <c r="I203" s="467"/>
      <c r="J203" s="467"/>
      <c r="K203" s="467"/>
      <c r="L203" s="467"/>
    </row>
    <row r="204" spans="1:19">
      <c r="B204" s="467"/>
      <c r="C204" s="467"/>
      <c r="D204" s="467"/>
      <c r="E204" s="467"/>
      <c r="F204" s="467"/>
      <c r="G204" s="467"/>
      <c r="H204" s="467"/>
      <c r="I204" s="467"/>
      <c r="J204" s="467"/>
      <c r="K204" s="467"/>
      <c r="L204" s="467"/>
    </row>
    <row r="205" spans="1:19">
      <c r="B205" s="467"/>
      <c r="C205" s="467"/>
      <c r="D205" s="467"/>
      <c r="E205" s="467"/>
      <c r="F205" s="467"/>
      <c r="G205" s="467"/>
      <c r="H205" s="467"/>
      <c r="I205" s="467"/>
      <c r="J205" s="467"/>
      <c r="K205" s="467"/>
      <c r="L205" s="467"/>
    </row>
    <row r="206" spans="1:19">
      <c r="B206" s="467"/>
      <c r="C206" s="467"/>
      <c r="D206" s="467"/>
      <c r="E206" s="467"/>
      <c r="F206" s="467"/>
      <c r="G206" s="467"/>
      <c r="H206" s="467"/>
      <c r="I206" s="467"/>
      <c r="J206" s="467"/>
      <c r="K206" s="467"/>
      <c r="L206" s="467"/>
    </row>
    <row r="207" spans="1:19">
      <c r="B207" s="467"/>
      <c r="C207" s="467"/>
      <c r="D207" s="467"/>
      <c r="E207" s="467"/>
      <c r="F207" s="467"/>
      <c r="G207" s="467"/>
      <c r="H207" s="467"/>
      <c r="I207" s="467"/>
      <c r="J207" s="467"/>
      <c r="K207" s="467"/>
      <c r="L207" s="467"/>
    </row>
    <row r="208" spans="1:19">
      <c r="B208" s="467"/>
      <c r="C208" s="467"/>
      <c r="D208" s="467"/>
      <c r="E208" s="467"/>
      <c r="F208" s="467"/>
      <c r="G208" s="467"/>
      <c r="H208" s="467"/>
      <c r="I208" s="467"/>
      <c r="J208" s="467"/>
      <c r="K208" s="467"/>
      <c r="L208" s="467"/>
    </row>
    <row r="209" spans="2:12">
      <c r="B209" s="467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</row>
  </sheetData>
  <sheetProtection password="D998" sheet="1" objects="1" scenarios="1" formatColumns="0" formatRows="0"/>
  <mergeCells count="6">
    <mergeCell ref="B166:R166"/>
    <mergeCell ref="B4:R4"/>
    <mergeCell ref="B38:R38"/>
    <mergeCell ref="B68:R68"/>
    <mergeCell ref="B102:R102"/>
    <mergeCell ref="B132:R132"/>
  </mergeCells>
  <phoneticPr fontId="0" type="noConversion"/>
  <printOptions horizontalCentered="1"/>
  <pageMargins left="0.55118110236220474" right="0.35433070866141736" top="1" bottom="0.98425196850393704" header="0.51181102362204722" footer="0.51181102362204722"/>
  <pageSetup paperSize="9" scale="80" orientation="portrait" blackAndWhite="1" r:id="rId1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22</vt:i4>
      </vt:variant>
    </vt:vector>
  </HeadingPairs>
  <TitlesOfParts>
    <vt:vector size="39" baseType="lpstr">
      <vt:lpstr>Dados</vt:lpstr>
      <vt:lpstr>Efetivo</vt:lpstr>
      <vt:lpstr>Benefícios</vt:lpstr>
      <vt:lpstr>PF</vt:lpstr>
      <vt:lpstr>Uniforme e EPI</vt:lpstr>
      <vt:lpstr>Material</vt:lpstr>
      <vt:lpstr>DE</vt:lpstr>
      <vt:lpstr>DOV</vt:lpstr>
      <vt:lpstr>DOE_h</vt:lpstr>
      <vt:lpstr>DV</vt:lpstr>
      <vt:lpstr>DG</vt:lpstr>
      <vt:lpstr>E S</vt:lpstr>
      <vt:lpstr>MC</vt:lpstr>
      <vt:lpstr>ADII</vt:lpstr>
      <vt:lpstr>Resumo</vt:lpstr>
      <vt:lpstr>Consolidado_A</vt:lpstr>
      <vt:lpstr>Simulador</vt:lpstr>
      <vt:lpstr>ADII!Area_de_impressao</vt:lpstr>
      <vt:lpstr>Benefícios!Area_de_impressao</vt:lpstr>
      <vt:lpstr>Consolidado_A!Area_de_impressao</vt:lpstr>
      <vt:lpstr>DE!Area_de_impressao</vt:lpstr>
      <vt:lpstr>DG!Area_de_impressao</vt:lpstr>
      <vt:lpstr>DOV!Area_de_impressao</vt:lpstr>
      <vt:lpstr>DV!Area_de_impressao</vt:lpstr>
      <vt:lpstr>'E S'!Area_de_impressao</vt:lpstr>
      <vt:lpstr>Efetivo!Area_de_impressao</vt:lpstr>
      <vt:lpstr>Material!Area_de_impressao</vt:lpstr>
      <vt:lpstr>MC!Area_de_impressao</vt:lpstr>
      <vt:lpstr>Resumo!Area_de_impressao</vt:lpstr>
      <vt:lpstr>'Uniforme e EPI'!Area_de_impressao</vt:lpstr>
      <vt:lpstr>ADII!Titulos_de_impressao</vt:lpstr>
      <vt:lpstr>Benefícios!Titulos_de_impressao</vt:lpstr>
      <vt:lpstr>Consolidado_A!Titulos_de_impressao</vt:lpstr>
      <vt:lpstr>DE!Titulos_de_impressao</vt:lpstr>
      <vt:lpstr>DG!Titulos_de_impressao</vt:lpstr>
      <vt:lpstr>DV!Titulos_de_impressao</vt:lpstr>
      <vt:lpstr>Efetivo!Titulos_de_impressao</vt:lpstr>
      <vt:lpstr>Material!Titulos_de_impressao</vt:lpstr>
      <vt:lpstr>'Uniforme e EPI'!Titulos_de_impressao</vt:lpstr>
    </vt:vector>
  </TitlesOfParts>
  <Company>MULTI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I1074249 - Fernando Silva - DAGC-1</dc:creator>
  <dc:description>Coordenação de Planejamento e Avaliação de Custos - DAGC-1</dc:description>
  <cp:lastModifiedBy>i1798293</cp:lastModifiedBy>
  <cp:lastPrinted>2011-03-24T19:53:28Z</cp:lastPrinted>
  <dcterms:created xsi:type="dcterms:W3CDTF">1999-11-03T12:35:55Z</dcterms:created>
  <dcterms:modified xsi:type="dcterms:W3CDTF">2012-07-05T17:51:29Z</dcterms:modified>
</cp:coreProperties>
</file>